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drawings/drawing4.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style1.xml" ContentType="application/vnd.ms-office.chartstyle+xml"/>
  <Override PartName="/xl/charts/colors1.xml" ContentType="application/vnd.ms-office.chartcolorstyle+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autoCompressPictures="0"/>
  <mc:AlternateContent xmlns:mc="http://schemas.openxmlformats.org/markup-compatibility/2006">
    <mc:Choice Requires="x15">
      <x15ac:absPath xmlns:x15ac="http://schemas.microsoft.com/office/spreadsheetml/2010/11/ac" url="C:\Users\broge\Google Drive\ProjectFinance\ProposalTool\"/>
    </mc:Choice>
  </mc:AlternateContent>
  <bookViews>
    <workbookView xWindow="0" yWindow="0" windowWidth="15360" windowHeight="9105" tabRatio="751" firstSheet="1" activeTab="1"/>
  </bookViews>
  <sheets>
    <sheet name="Inputs_MySOL" sheetId="19" state="veryHidden" r:id="rId1"/>
    <sheet name="Inputs" sheetId="22" r:id="rId2"/>
    <sheet name="Proposal_Eng" sheetId="26" r:id="rId3"/>
    <sheet name="Proposal_Esp" sheetId="25" r:id="rId4"/>
    <sheet name="ContractData" sheetId="31" r:id="rId5"/>
    <sheet name="SalesSupport" sheetId="32" state="veryHidden" r:id="rId6"/>
    <sheet name="Model" sheetId="30" state="veryHidden" r:id="rId7"/>
    <sheet name="Model_DG" sheetId="34" state="veryHidden" r:id="rId8"/>
    <sheet name="Savings" sheetId="4" state="veryHidden" r:id="rId9"/>
    <sheet name="Unit_Internal" sheetId="1" state="veryHidden" r:id="rId10"/>
    <sheet name="Components" sheetId="15" state="veryHidden" r:id="rId11"/>
    <sheet name="CFE_History_DAC" sheetId="9" state="veryHidden" r:id="rId12"/>
    <sheet name="CFE_History_Tarifa2" sheetId="18" state="veryHidden" r:id="rId13"/>
    <sheet name="CFE_History_Tarifa1" sheetId="29" state="veryHidden" r:id="rId14"/>
    <sheet name="Irradiance" sheetId="33" state="veryHidden" r:id="rId15"/>
    <sheet name="ListData" sheetId="17" state="veryHidden" r:id="rId16"/>
  </sheets>
  <functionGroups builtInGroupCount="18"/>
  <definedNames>
    <definedName name="_xlnm._FilterDatabase" localSheetId="14" hidden="1">Irradiance!$C$1:$C$2188</definedName>
    <definedName name="_Order1" hidden="1">255</definedName>
    <definedName name="_Order2" hidden="1">255</definedName>
    <definedName name="AddToFinalPymt_OM">Inputs_MySOL!$G$47</definedName>
    <definedName name="BlendedReqIRR">Inputs_MySOL!$B$15</definedName>
    <definedName name="CFE_CargoFijo">Inputs!$B$21</definedName>
    <definedName name="CFE_Hilos">Inputs!$B$16</definedName>
    <definedName name="CFE_Limite">Inputs!$B$18</definedName>
    <definedName name="CFE_RateCategory">Inputs!$B$17</definedName>
    <definedName name="CFE_RatePeriod">Inputs!$B$20</definedName>
    <definedName name="CFE_RatePreTaxes">Inputs!$B$22</definedName>
    <definedName name="CFE_RateWithDAP">Inputs_MySOL!$G$4</definedName>
    <definedName name="CFE_Region">Inputs!$B$19</definedName>
    <definedName name="CFE_YrIncreasePct">Inputs_MySOL!$B$6</definedName>
    <definedName name="CorpTaxRate">Inputs_MySOL!$B$5</definedName>
    <definedName name="Cust_Address">Inputs!$B$10</definedName>
    <definedName name="Cust_Bank">ContractData!$C$12</definedName>
    <definedName name="Cust_BankAcct">ContractData!$C$13</definedName>
    <definedName name="Cust_CC_Expiry">ContractData!$C$16</definedName>
    <definedName name="Cust_CC_No">ContractData!$C$15</definedName>
    <definedName name="Cust_CC_SecCode">ContractData!$C$17</definedName>
    <definedName name="Cust_CC_Type">ContractData!$C$14</definedName>
    <definedName name="Cust_CfeServNum">Inputs!$B$5</definedName>
    <definedName name="Cust_City">Inputs!$B$12</definedName>
    <definedName name="Cust_Co_DeedDated">ContractData!$C$32</definedName>
    <definedName name="Cust_Co_DeedNo">ContractData!$C$31</definedName>
    <definedName name="Cust_Co_DeedNotaryFolioNo">ContractData!$C$37</definedName>
    <definedName name="Cust_Co_DeedNotaryLoc">ContractData!$C$34</definedName>
    <definedName name="Cust_Co_DeedNotaryName">ContractData!$C$35</definedName>
    <definedName name="Cust_Co_DeedNotaryNo">ContractData!$C$33</definedName>
    <definedName name="Cust_Co_DeedNotaryRegLoc">ContractData!$C$36</definedName>
    <definedName name="Cust_Co_Rep">ContractData!$C$38</definedName>
    <definedName name="Cust_Co_Rep_DeedDated">ContractData!$C$40</definedName>
    <definedName name="Cust_Co_Rep_DeedNo">ContractData!$C$39</definedName>
    <definedName name="Cust_Co_Rep_DeedNotaryFolioNo">ContractData!$C$45</definedName>
    <definedName name="Cust_Co_Rep_DeedNotaryLoc">ContractData!$C$42</definedName>
    <definedName name="Cust_Co_Rep_DeedNotaryName">ContractData!$C$43</definedName>
    <definedName name="Cust_Co_Rep_DeedNotaryNo">ContractData!$C$41</definedName>
    <definedName name="Cust_Co_Rep_DeedNotaryRegLoc">ContractData!$C$44</definedName>
    <definedName name="Cust_Colonia">Inputs!$B$11</definedName>
    <definedName name="Cust_Company">Inputs!$B$6</definedName>
    <definedName name="Cust_Email">ContractData!$C$7</definedName>
    <definedName name="Cust_FirstName">Inputs!$B$7</definedName>
    <definedName name="Cust_Ind_ID">ContractData!$C$28</definedName>
    <definedName name="Cust_Ind_Natl">ContractData!$C$27</definedName>
    <definedName name="Cust_InitialPymt">Inputs_MySOL!$G$40</definedName>
    <definedName name="Cust_LastName">Inputs!$B$8</definedName>
    <definedName name="Cust_LastName2">Inputs!$B$9</definedName>
    <definedName name="Cust_LeaseTermYears">Inputs!$T$3</definedName>
    <definedName name="Cust_NominalPymtAtTermEnd">Inputs_MySOL!$B$20</definedName>
    <definedName name="Cust_SavingsRate">Inputs!$T$4</definedName>
    <definedName name="Cust_SavingsRateMin_DAC">Inputs_MySOL!$B$45</definedName>
    <definedName name="Cust_SavingsRateMin_Tarifa2">Inputs_MySOL!$B$46</definedName>
    <definedName name="Cust_State">Inputs!$B$13</definedName>
    <definedName name="Cust_Telephone">ContractData!$C$6</definedName>
    <definedName name="Cust_TotalPymtAtTermEnd">Inputs_MySOL!$B$21</definedName>
    <definedName name="Cust_Zip">Inputs!$B$14</definedName>
    <definedName name="CustUsage_kWhPerYear">Inputs!$B$32</definedName>
    <definedName name="CustUsage_LimitBasicoNonSummer">Savings!$AV$3</definedName>
    <definedName name="CustUsage_LimitBasicoSummer">Savings!$AQ$3</definedName>
    <definedName name="CustUsage_LimitIntermedioNonSummer">Savings!$AW$3</definedName>
    <definedName name="CustUsage_LimitIntermedioSummer">Savings!$AR$3</definedName>
    <definedName name="DAP">Inputs!$B$23</definedName>
    <definedName name="DebtInv_Pct">Inputs_MySOL!$B$8</definedName>
    <definedName name="DebtInv_PctCashFlow">Model!$C$30</definedName>
    <definedName name="DebtInv_ReqIRR">Inputs_MySOL!$B$14</definedName>
    <definedName name="EqInv_Equity">Inputs_MySOL!$B$17</definedName>
    <definedName name="EqInv_Pct">Inputs_MySOL!$B$9</definedName>
    <definedName name="EqInv_PctCashFlow">Model!$C$29</definedName>
    <definedName name="EqInv_ReqIRR">Inputs_MySOL!$D$49</definedName>
    <definedName name="EquipReplaceReservePerW_MXN">Inputs_MySOL!$B$32</definedName>
    <definedName name="EquipReplaceReservePerW_USD">Inputs_MySOL!$B$31</definedName>
    <definedName name="FinYrIncr">Inputs_MySOL!$B$12</definedName>
    <definedName name="InclUpfront_EGauge">Inputs_MySOL!$B$38</definedName>
    <definedName name="InclUpfront_OM">Inputs_MySOL!$B$39</definedName>
    <definedName name="InflationRate">Inputs_MySOL!$B$4</definedName>
    <definedName name="InsuranceOnPVPanels">Inputs_MySOL!$B$35</definedName>
    <definedName name="InverterDiscountRate">Inputs_MySOL!$B$30</definedName>
    <definedName name="InverterLossPct">Inputs_MySOL!$G$15</definedName>
    <definedName name="InverterReplaceCostwIVA">Inputs_MySOL!$B$29</definedName>
    <definedName name="InverterReplaceYr">Inputs_MySOL!$B$28</definedName>
    <definedName name="IVA">Inputs_MySOL!$B$3</definedName>
    <definedName name="JO">ContractData!$C$50</definedName>
    <definedName name="JO_Co_DeedDated">ContractData!$C$59</definedName>
    <definedName name="JO_Co_DeedNo">ContractData!$C$58</definedName>
    <definedName name="JO_Co_DeedNotaryFolioNo">ContractData!$C$64</definedName>
    <definedName name="JO_Co_DeedNotaryLoc">ContractData!$C$61</definedName>
    <definedName name="JO_Co_DeedNotaryName">ContractData!$C$62</definedName>
    <definedName name="JO_Co_DeedNotaryNo">ContractData!$C$60</definedName>
    <definedName name="JO_Co_DeedNotaryRegLoc">ContractData!$C$63</definedName>
    <definedName name="JO_Co_Rep">ContractData!$C$65</definedName>
    <definedName name="JO_Co_Rep_DeedDated">ContractData!$C$67</definedName>
    <definedName name="JO_Co_Rep_DeedNo">ContractData!$C$66</definedName>
    <definedName name="JO_Co_Rep_DeedNotaryLoc">ContractData!$C$69</definedName>
    <definedName name="JO_Co_Rep_DeedNotaryName">ContractData!$C$70</definedName>
    <definedName name="JO_Co_Rep_DeedNotaryNo">ContractData!$C$68</definedName>
    <definedName name="JO_Email">ContractData!$C$51</definedName>
    <definedName name="JO_Ind_ID">ContractData!$C$55</definedName>
    <definedName name="JO_Ind_Natl">ContractData!$C$54</definedName>
    <definedName name="MXNperUSD">Inputs_MySOL!$B$2</definedName>
    <definedName name="MySOL_Equity">Inputs_MySOL!$B$18</definedName>
    <definedName name="MySOL_MarkupTotal_Max">Inputs_MySOL!$B$44</definedName>
    <definedName name="MySOL_MarkupTotal_Min">Inputs_MySOL!$B$43</definedName>
    <definedName name="MySOL_Pct">Inputs_MySOL!$B$10</definedName>
    <definedName name="MySOL_PctCashFlow">Model!$C$31</definedName>
    <definedName name="MySol_TotalRate">Inputs_MySOL!$G$7</definedName>
    <definedName name="OpExpenseAsPctOfCost">Inputs_MySOL!$B$25</definedName>
    <definedName name="OpExpensePerKwMXN">Inputs_MySOL!$B$24</definedName>
    <definedName name="OpExpensePerKwUSD">Inputs_MySOL!$B$23</definedName>
    <definedName name="Panel_PTC">Inputs_MySOL!$G$13</definedName>
    <definedName name="Panel_STC">Inputs_MySOL!$G$12</definedName>
    <definedName name="priceEGaugeUSD">Components!$D$112</definedName>
    <definedName name="_xlnm.Print_Area" localSheetId="2">Proposal_Eng!$A$1:$G$53,Proposal_Eng!$A$55:$G$125,Proposal_Eng!$A$131:$G$209,Proposal_Eng!$A$212:$G$270</definedName>
    <definedName name="_xlnm.Print_Area" localSheetId="3">Proposal_Esp!$A$1:$G$53,Proposal_Esp!$A$55:$G$125,Proposal_Esp!$A$131:$G$209,Proposal_Esp!$A$212:$G$270</definedName>
    <definedName name="PVPanelDefault">Inputs_MySOL!$B$41</definedName>
    <definedName name="Rng_InverterLookupByPhase">Components!$P$32:$R$34</definedName>
    <definedName name="Rng_Inverters">Components!$A$32:$A$103</definedName>
    <definedName name="Rng_IrradianceCols">Irradiance!$A$1:$Q$1</definedName>
    <definedName name="Rng_IrradianceData">Irradiance!$A$2:$Q$2188</definedName>
    <definedName name="Rng_IrradianceKeys">Irradiance!$A$2:$A$2188</definedName>
    <definedName name="Rng_LeaseTerms">Inputs!$L$2:$Q$2</definedName>
    <definedName name="Rng_MonthlyUsage">Inputs!$B$36:$B$47</definedName>
    <definedName name="Rng_Optimizers">Components!$A$25:$A$30</definedName>
    <definedName name="Rng_PVPanels">Components!$A$2:$A$23</definedName>
    <definedName name="Rng_SavingsRates">Inputs!$K$3:$K$43</definedName>
    <definedName name="Rng_ScenarioData">Inputs!$L$3:$Q$43</definedName>
    <definedName name="Rng_SysMon">Components!$A$105:$A$110</definedName>
    <definedName name="Rng_SysMon_NonMicro">Components!$R$107</definedName>
    <definedName name="SavingsRate_Incr">Inputs!$F$33</definedName>
    <definedName name="SavingsRate_Max">Inputs!$F$32</definedName>
    <definedName name="SavingsRate_Min">Inputs!$F$31</definedName>
    <definedName name="Scenario_InitialPymt">Inputs!$F$29</definedName>
    <definedName name="Scenario_InitialPymt_Label">Inputs!$D$29</definedName>
    <definedName name="Scenario_Variable">Inputs!$F$28</definedName>
    <definedName name="Scenario_Variable_Label">Inputs!$K$1</definedName>
    <definedName name="Shipping_MXNperW">Inputs_MySOL!$B$36</definedName>
    <definedName name="SolarSvcProvider">Inputs!$B$3</definedName>
    <definedName name="StdDefaultRate">Inputs_MySOL!$B$33</definedName>
    <definedName name="Sys_Azimuth">Inputs!$B$26</definedName>
    <definedName name="Sys_CostOfBOSElectricalMXN">Unit_Internal!$E$40</definedName>
    <definedName name="Sys_CostOfBOSMechanicalMXN">Unit_Internal!$E$41</definedName>
    <definedName name="Sys_CostOfComponentsMXN">Unit_Internal!$E$37</definedName>
    <definedName name="Sys_CostOfLaborMXN">Unit_Internal!$E$39</definedName>
    <definedName name="Sys_Factor">Inputs_MySOL!$G$19</definedName>
    <definedName name="Sys_FundPricePerWatt">Inputs_MySOL!$G$29</definedName>
    <definedName name="Sys_FundPriceTotal">Inputs_MySOL!$G$30</definedName>
    <definedName name="Sys_InverterCostMXN_PreIVA">Unit_Internal!$E$31</definedName>
    <definedName name="Sys_InverterCostUSD_PreIVA">Unit_Internal!$E$4</definedName>
    <definedName name="Sys_kWhPerYear">Inputs_MySOL!$G$18</definedName>
    <definedName name="Sys_MySolMarkupEffective">Inputs_MySOL!$D$50</definedName>
    <definedName name="Sys_NumPanels">Inputs_MySOL!$G$11</definedName>
    <definedName name="Sys_OtherLossPct">Inputs!$B$30</definedName>
    <definedName name="Sys_PreIvaCostFromInstallerMXN">Unit_Internal!$E$46</definedName>
    <definedName name="Sys_SizeWatts">Inputs_MySOL!$G$17</definedName>
    <definedName name="Sys_SPPMarkupEffective">Inputs_MySOL!$D$52</definedName>
    <definedName name="Sys_SunHours">Inputs!$B$29</definedName>
    <definedName name="Sys_SunHoursAvailableTilts">ListData!$F$72</definedName>
    <definedName name="Sys_SunHoursCity">Inputs!$B$25</definedName>
    <definedName name="Sys_Tilt">Inputs!$B$27</definedName>
    <definedName name="Sys_TotalCostFromInstallerMXN">Unit_Internal!$E$48</definedName>
    <definedName name="Sys_YrDegradationRate">Inputs_MySOL!$B$27</definedName>
    <definedName name="SysMonDefault_NonMicro">Components!$A$107</definedName>
    <definedName name="SysSpec_CommAcc_Units">Inputs!$I$9</definedName>
    <definedName name="SysSpec_Inverter">Inputs!$F$5</definedName>
    <definedName name="SysSpec_Inverters_Units">Inputs!$I$5</definedName>
    <definedName name="SysSpec_Optimizer">Inputs!$F$6</definedName>
    <definedName name="SysSpec_Optimizers_Units">Inputs!$I$6</definedName>
    <definedName name="SysSpec_PV">Inputs!$F$4</definedName>
    <definedName name="SysSpec_PV_Units">Inputs!$I$4</definedName>
    <definedName name="SysSpec_SysMon_Units">Inputs!$I$7</definedName>
    <definedName name="SysSpec_SysMonitor">Inputs!$F$7</definedName>
    <definedName name="Table_DataStart">Inputs!$L$3</definedName>
    <definedName name="Table_XAxisStart">Inputs!$L$2</definedName>
    <definedName name="Table_YAxisStart">Inputs!$K$3</definedName>
  </definedNames>
  <calcPr calcId="152511"/>
</workbook>
</file>

<file path=xl/calcChain.xml><?xml version="1.0" encoding="utf-8"?>
<calcChain xmlns="http://schemas.openxmlformats.org/spreadsheetml/2006/main">
  <c r="G22" i="25" l="1"/>
  <c r="E22" i="25"/>
  <c r="G12" i="25"/>
  <c r="G66" i="25" s="1"/>
  <c r="G11" i="25"/>
  <c r="G65" i="25" s="1"/>
  <c r="G10" i="25"/>
  <c r="G64" i="25" s="1"/>
  <c r="G22" i="26"/>
  <c r="E22" i="26"/>
  <c r="G12" i="26"/>
  <c r="G11" i="26"/>
  <c r="G10" i="26"/>
  <c r="G7" i="26"/>
  <c r="G7" i="25"/>
  <c r="G6" i="26"/>
  <c r="G6" i="25"/>
  <c r="G4" i="26" l="1"/>
  <c r="G28" i="25"/>
  <c r="O98" i="29" l="1"/>
  <c r="O96" i="29"/>
  <c r="O95" i="29"/>
  <c r="O91" i="29"/>
  <c r="O90" i="29"/>
  <c r="O89" i="29"/>
  <c r="O88" i="29"/>
  <c r="O84" i="29"/>
  <c r="O82" i="29"/>
  <c r="O81" i="29"/>
  <c r="O77" i="29"/>
  <c r="O76" i="29"/>
  <c r="O75" i="29"/>
  <c r="O74" i="29"/>
  <c r="O70" i="29"/>
  <c r="O68" i="29"/>
  <c r="O67" i="29"/>
  <c r="O63" i="29"/>
  <c r="O62" i="29"/>
  <c r="O61" i="29"/>
  <c r="O60" i="29"/>
  <c r="O56" i="29"/>
  <c r="O54" i="29"/>
  <c r="O53" i="29"/>
  <c r="O49" i="29"/>
  <c r="O48" i="29"/>
  <c r="O47" i="29"/>
  <c r="O46" i="29"/>
  <c r="O42" i="29"/>
  <c r="O40" i="29"/>
  <c r="O39" i="29"/>
  <c r="O35" i="29"/>
  <c r="O33" i="29"/>
  <c r="O32" i="29"/>
  <c r="O28" i="29"/>
  <c r="O26" i="29"/>
  <c r="O25" i="29"/>
  <c r="O21" i="29"/>
  <c r="O19" i="29"/>
  <c r="O18" i="29"/>
  <c r="O14" i="29"/>
  <c r="O12" i="29"/>
  <c r="O11" i="29"/>
  <c r="O7" i="29"/>
  <c r="O5" i="29"/>
  <c r="O4" i="29"/>
  <c r="O9" i="18"/>
  <c r="O7" i="18"/>
  <c r="O6" i="18"/>
  <c r="O5" i="18"/>
  <c r="N27" i="9"/>
  <c r="N24" i="9"/>
  <c r="N21" i="9"/>
  <c r="N18" i="9"/>
  <c r="AE15" i="32" l="1"/>
  <c r="AE14" i="32"/>
  <c r="AE13" i="32"/>
  <c r="AE12" i="32"/>
  <c r="AE11" i="32"/>
  <c r="AE10" i="32"/>
  <c r="AE9" i="32"/>
  <c r="AE8" i="32"/>
  <c r="AE7" i="32"/>
  <c r="AE6" i="32"/>
  <c r="AE5" i="32"/>
  <c r="AE4" i="32"/>
  <c r="Q2188" i="33" l="1"/>
  <c r="Q2187" i="33"/>
  <c r="Q2186" i="33"/>
  <c r="Q2185" i="33"/>
  <c r="Q2184" i="33"/>
  <c r="Q2183" i="33"/>
  <c r="Q2182" i="33"/>
  <c r="Q2181" i="33"/>
  <c r="Q2180" i="33"/>
  <c r="Q2179" i="33"/>
  <c r="Q2178" i="33"/>
  <c r="Q2177" i="33"/>
  <c r="Q2176" i="33"/>
  <c r="Q2175" i="33"/>
  <c r="Q2174" i="33"/>
  <c r="Q2173" i="33"/>
  <c r="Q2172" i="33"/>
  <c r="Q2171" i="33"/>
  <c r="Q2170" i="33"/>
  <c r="Q2169" i="33"/>
  <c r="Q2168" i="33"/>
  <c r="Q2167" i="33"/>
  <c r="Q2166" i="33"/>
  <c r="Q2165" i="33"/>
  <c r="Q2164" i="33"/>
  <c r="Q2163" i="33"/>
  <c r="Q2162" i="33"/>
  <c r="Q2161" i="33"/>
  <c r="Q2160" i="33"/>
  <c r="Q2159" i="33"/>
  <c r="Q2158" i="33"/>
  <c r="Q2157" i="33"/>
  <c r="Q2156" i="33"/>
  <c r="Q2155" i="33"/>
  <c r="Q2154" i="33"/>
  <c r="Q2153" i="33"/>
  <c r="Q2152" i="33"/>
  <c r="Q2151" i="33"/>
  <c r="Q2150" i="33"/>
  <c r="Q2149" i="33"/>
  <c r="Q2148" i="33"/>
  <c r="Q2147" i="33"/>
  <c r="Q2146" i="33"/>
  <c r="Q2145" i="33"/>
  <c r="Q2144" i="33"/>
  <c r="Q2143" i="33"/>
  <c r="Q2142" i="33"/>
  <c r="Q2141" i="33"/>
  <c r="Q2140" i="33"/>
  <c r="Q2139" i="33"/>
  <c r="Q2138" i="33"/>
  <c r="Q2137" i="33"/>
  <c r="Q2136" i="33"/>
  <c r="Q2135" i="33"/>
  <c r="Q2134" i="33"/>
  <c r="Q2133" i="33"/>
  <c r="Q2132" i="33"/>
  <c r="Q2131" i="33"/>
  <c r="Q2130" i="33"/>
  <c r="Q2129" i="33"/>
  <c r="Q2128" i="33"/>
  <c r="Q2127" i="33"/>
  <c r="Q2126" i="33"/>
  <c r="Q2125" i="33"/>
  <c r="Q2124" i="33"/>
  <c r="Q2123" i="33"/>
  <c r="Q2122" i="33"/>
  <c r="Q2121" i="33"/>
  <c r="Q2120" i="33"/>
  <c r="Q2119" i="33"/>
  <c r="Q2118" i="33"/>
  <c r="Q2117" i="33"/>
  <c r="Q2116" i="33"/>
  <c r="Q2115" i="33"/>
  <c r="Q2114" i="33"/>
  <c r="Q2113" i="33"/>
  <c r="Q2112" i="33"/>
  <c r="Q2111" i="33"/>
  <c r="Q2110" i="33"/>
  <c r="Q2109" i="33"/>
  <c r="Q2108" i="33"/>
  <c r="Q2107" i="33"/>
  <c r="Q2106" i="33"/>
  <c r="Q2105" i="33"/>
  <c r="Q2104" i="33"/>
  <c r="Q2103" i="33"/>
  <c r="Q2102" i="33"/>
  <c r="Q2101" i="33"/>
  <c r="Q2100" i="33"/>
  <c r="Q2099" i="33"/>
  <c r="Q2098" i="33"/>
  <c r="Q2097" i="33"/>
  <c r="Q2096" i="33"/>
  <c r="Q2095" i="33"/>
  <c r="Q2094" i="33"/>
  <c r="Q2093" i="33"/>
  <c r="Q2092" i="33"/>
  <c r="Q2091" i="33"/>
  <c r="Q2090" i="33"/>
  <c r="Q2089" i="33"/>
  <c r="Q2088" i="33"/>
  <c r="Q2087" i="33"/>
  <c r="Q2086" i="33"/>
  <c r="Q2085" i="33"/>
  <c r="Q2084" i="33"/>
  <c r="Q2083" i="33"/>
  <c r="Q2082" i="33"/>
  <c r="Q2081" i="33"/>
  <c r="Q2080" i="33"/>
  <c r="Q2079" i="33"/>
  <c r="Q2078" i="33"/>
  <c r="Q2077" i="33"/>
  <c r="Q2076" i="33"/>
  <c r="Q2075" i="33"/>
  <c r="Q2074" i="33"/>
  <c r="Q2073" i="33"/>
  <c r="Q2072" i="33"/>
  <c r="Q2071" i="33"/>
  <c r="Q2070" i="33"/>
  <c r="Q2069" i="33"/>
  <c r="Q2068" i="33"/>
  <c r="Q2067" i="33"/>
  <c r="Q2066" i="33"/>
  <c r="Q2065" i="33"/>
  <c r="Q2064" i="33"/>
  <c r="Q2063" i="33"/>
  <c r="Q2062" i="33"/>
  <c r="Q2061" i="33"/>
  <c r="Q2060" i="33"/>
  <c r="Q2059" i="33"/>
  <c r="Q2058" i="33"/>
  <c r="Q2057" i="33"/>
  <c r="Q2056" i="33"/>
  <c r="Q2055" i="33"/>
  <c r="Q2054" i="33"/>
  <c r="Q2053" i="33"/>
  <c r="Q2052" i="33"/>
  <c r="Q2051" i="33"/>
  <c r="Q2050" i="33"/>
  <c r="Q2049" i="33"/>
  <c r="Q2048" i="33"/>
  <c r="Q2047" i="33"/>
  <c r="Q2046" i="33"/>
  <c r="Q2045" i="33"/>
  <c r="Q2044" i="33"/>
  <c r="Q2043" i="33"/>
  <c r="Q2042" i="33"/>
  <c r="Q2041" i="33"/>
  <c r="Q2040" i="33"/>
  <c r="Q2039" i="33"/>
  <c r="Q2038" i="33"/>
  <c r="Q2037" i="33"/>
  <c r="Q2036" i="33"/>
  <c r="Q2035" i="33"/>
  <c r="Q2034" i="33"/>
  <c r="Q2033" i="33"/>
  <c r="Q2032" i="33"/>
  <c r="Q2031" i="33"/>
  <c r="Q2030" i="33"/>
  <c r="Q2029" i="33"/>
  <c r="Q2028" i="33"/>
  <c r="Q2027" i="33"/>
  <c r="Q2026" i="33"/>
  <c r="Q2025" i="33"/>
  <c r="Q2024" i="33"/>
  <c r="Q2023" i="33"/>
  <c r="Q2022" i="33"/>
  <c r="Q2021" i="33"/>
  <c r="Q2020" i="33"/>
  <c r="Q2019" i="33"/>
  <c r="Q2018" i="33"/>
  <c r="Q2017" i="33"/>
  <c r="Q2016" i="33"/>
  <c r="Q2015" i="33"/>
  <c r="Q2014" i="33"/>
  <c r="Q2013" i="33"/>
  <c r="Q2012" i="33"/>
  <c r="Q2011" i="33"/>
  <c r="Q2010" i="33"/>
  <c r="Q2009" i="33"/>
  <c r="Q2008" i="33"/>
  <c r="Q2007" i="33"/>
  <c r="Q2006" i="33"/>
  <c r="Q2005" i="33"/>
  <c r="Q2004" i="33"/>
  <c r="Q2003" i="33"/>
  <c r="Q2002" i="33"/>
  <c r="Q2001" i="33"/>
  <c r="Q2000" i="33"/>
  <c r="Q1999" i="33"/>
  <c r="Q1998" i="33"/>
  <c r="Q1997" i="33"/>
  <c r="Q1996" i="33"/>
  <c r="Q1995" i="33"/>
  <c r="Q1994" i="33"/>
  <c r="Q1993" i="33"/>
  <c r="Q1992" i="33"/>
  <c r="Q1991" i="33"/>
  <c r="Q1990" i="33"/>
  <c r="Q1989" i="33"/>
  <c r="Q1988" i="33"/>
  <c r="Q1987" i="33"/>
  <c r="Q1986" i="33"/>
  <c r="Q1985" i="33"/>
  <c r="Q1984" i="33"/>
  <c r="Q1983" i="33"/>
  <c r="Q1982" i="33"/>
  <c r="Q1981" i="33"/>
  <c r="Q1980" i="33"/>
  <c r="Q1979" i="33"/>
  <c r="Q1978" i="33"/>
  <c r="Q1977" i="33"/>
  <c r="Q1976" i="33"/>
  <c r="Q1975" i="33"/>
  <c r="Q1974" i="33"/>
  <c r="Q1973" i="33"/>
  <c r="Q1972" i="33"/>
  <c r="Q1971" i="33"/>
  <c r="Q1970" i="33"/>
  <c r="Q1969" i="33"/>
  <c r="Q1968" i="33"/>
  <c r="Q1967" i="33"/>
  <c r="Q1966" i="33"/>
  <c r="Q1965" i="33"/>
  <c r="Q1964" i="33"/>
  <c r="Q1963" i="33"/>
  <c r="Q1962" i="33"/>
  <c r="Q1961" i="33"/>
  <c r="Q1960" i="33"/>
  <c r="Q1959" i="33"/>
  <c r="Q1958" i="33"/>
  <c r="Q1957" i="33"/>
  <c r="Q1956" i="33"/>
  <c r="Q1955" i="33"/>
  <c r="Q1954" i="33"/>
  <c r="Q1953" i="33"/>
  <c r="Q1952" i="33"/>
  <c r="Q1951" i="33"/>
  <c r="Q1950" i="33"/>
  <c r="Q1949" i="33"/>
  <c r="Q1948" i="33"/>
  <c r="Q1947" i="33"/>
  <c r="Q1946" i="33"/>
  <c r="Q1945" i="33"/>
  <c r="Q1944" i="33"/>
  <c r="Q1943" i="33"/>
  <c r="Q1942" i="33"/>
  <c r="Q1941" i="33"/>
  <c r="Q1940" i="33"/>
  <c r="Q1939" i="33"/>
  <c r="Q1938" i="33"/>
  <c r="Q1937" i="33"/>
  <c r="Q1936" i="33"/>
  <c r="Q1935" i="33"/>
  <c r="Q1934" i="33"/>
  <c r="Q1933" i="33"/>
  <c r="Q1932" i="33"/>
  <c r="Q1931" i="33"/>
  <c r="Q1930" i="33"/>
  <c r="Q1929" i="33"/>
  <c r="Q1928" i="33"/>
  <c r="Q1927" i="33"/>
  <c r="Q1926" i="33"/>
  <c r="Q1925" i="33"/>
  <c r="Q1924" i="33"/>
  <c r="Q1923" i="33"/>
  <c r="Q1922" i="33"/>
  <c r="Q1921" i="33"/>
  <c r="Q1920" i="33"/>
  <c r="Q1919" i="33"/>
  <c r="Q1918" i="33"/>
  <c r="Q1917" i="33"/>
  <c r="Q1916" i="33"/>
  <c r="Q1915" i="33"/>
  <c r="Q1914" i="33"/>
  <c r="Q1913" i="33"/>
  <c r="Q1912" i="33"/>
  <c r="Q1911" i="33"/>
  <c r="Q1910" i="33"/>
  <c r="Q1909" i="33"/>
  <c r="Q1908" i="33"/>
  <c r="Q1907" i="33"/>
  <c r="Q1906" i="33"/>
  <c r="Q1905" i="33"/>
  <c r="Q1904" i="33"/>
  <c r="Q1903" i="33"/>
  <c r="Q1902" i="33"/>
  <c r="Q1901" i="33"/>
  <c r="Q1900" i="33"/>
  <c r="Q1899" i="33"/>
  <c r="Q1898" i="33"/>
  <c r="Q1897" i="33"/>
  <c r="Q1896" i="33"/>
  <c r="Q1895" i="33"/>
  <c r="Q1894" i="33"/>
  <c r="Q1893" i="33"/>
  <c r="Q1892" i="33"/>
  <c r="Q1891" i="33"/>
  <c r="Q1890" i="33"/>
  <c r="Q1889" i="33"/>
  <c r="Q1888" i="33"/>
  <c r="Q1887" i="33"/>
  <c r="Q1886" i="33"/>
  <c r="Q1885" i="33"/>
  <c r="Q1884" i="33"/>
  <c r="Q1883" i="33"/>
  <c r="Q1882" i="33"/>
  <c r="Q1881" i="33"/>
  <c r="Q1880" i="33"/>
  <c r="Q1879" i="33"/>
  <c r="Q1878" i="33"/>
  <c r="Q1877" i="33"/>
  <c r="Q1876" i="33"/>
  <c r="Q1875" i="33"/>
  <c r="Q1874" i="33"/>
  <c r="Q1873" i="33"/>
  <c r="Q1872" i="33"/>
  <c r="Q1871" i="33"/>
  <c r="Q1870" i="33"/>
  <c r="Q1869" i="33"/>
  <c r="Q1868" i="33"/>
  <c r="Q1867" i="33"/>
  <c r="Q1866" i="33"/>
  <c r="Q1865" i="33"/>
  <c r="Q1864" i="33"/>
  <c r="Q1863" i="33"/>
  <c r="Q1862" i="33"/>
  <c r="Q1861" i="33"/>
  <c r="Q1860" i="33"/>
  <c r="Q1859" i="33"/>
  <c r="Q1858" i="33"/>
  <c r="Q1857" i="33"/>
  <c r="Q1856" i="33"/>
  <c r="Q1855" i="33"/>
  <c r="Q1854" i="33"/>
  <c r="Q1853" i="33"/>
  <c r="Q1852" i="33"/>
  <c r="Q1851" i="33"/>
  <c r="Q1850" i="33"/>
  <c r="Q1849" i="33"/>
  <c r="Q1848" i="33"/>
  <c r="Q1847" i="33"/>
  <c r="Q1846" i="33"/>
  <c r="Q1845" i="33"/>
  <c r="Q1844" i="33"/>
  <c r="Q1843" i="33"/>
  <c r="Q1842" i="33"/>
  <c r="Q1841" i="33"/>
  <c r="Q1840" i="33"/>
  <c r="Q1839" i="33"/>
  <c r="Q1838" i="33"/>
  <c r="Q1837" i="33"/>
  <c r="Q1836" i="33"/>
  <c r="Q1835" i="33"/>
  <c r="Q1834" i="33"/>
  <c r="Q1833" i="33"/>
  <c r="Q1832" i="33"/>
  <c r="Q1831" i="33"/>
  <c r="Q1830" i="33"/>
  <c r="Q1829" i="33"/>
  <c r="Q1828" i="33"/>
  <c r="Q1827" i="33"/>
  <c r="Q1826" i="33"/>
  <c r="Q1825" i="33"/>
  <c r="Q1824" i="33"/>
  <c r="Q1823" i="33"/>
  <c r="Q1822" i="33"/>
  <c r="Q1821" i="33"/>
  <c r="Q1820" i="33"/>
  <c r="Q1819" i="33"/>
  <c r="Q1818" i="33"/>
  <c r="Q1817" i="33"/>
  <c r="Q1816" i="33"/>
  <c r="Q1815" i="33"/>
  <c r="Q1814" i="33"/>
  <c r="Q1813" i="33"/>
  <c r="Q1812" i="33"/>
  <c r="Q1811" i="33"/>
  <c r="Q1810" i="33"/>
  <c r="Q1809" i="33"/>
  <c r="Q1808" i="33"/>
  <c r="Q1807" i="33"/>
  <c r="Q1806" i="33"/>
  <c r="Q1805" i="33"/>
  <c r="Q1804" i="33"/>
  <c r="Q1803" i="33"/>
  <c r="Q1802" i="33"/>
  <c r="Q1801" i="33"/>
  <c r="Q1800" i="33"/>
  <c r="Q1799" i="33"/>
  <c r="Q1798" i="33"/>
  <c r="Q1797" i="33"/>
  <c r="Q1796" i="33"/>
  <c r="Q1795" i="33"/>
  <c r="Q1794" i="33"/>
  <c r="Q1793" i="33"/>
  <c r="Q1792" i="33"/>
  <c r="Q1791" i="33"/>
  <c r="Q1790" i="33"/>
  <c r="Q1789" i="33"/>
  <c r="Q1788" i="33"/>
  <c r="Q1787" i="33"/>
  <c r="Q1786" i="33"/>
  <c r="Q1785" i="33"/>
  <c r="Q1784" i="33"/>
  <c r="Q1783" i="33"/>
  <c r="Q1782" i="33"/>
  <c r="Q1781" i="33"/>
  <c r="Q1780" i="33"/>
  <c r="Q1779" i="33"/>
  <c r="Q1778" i="33"/>
  <c r="Q1777" i="33"/>
  <c r="Q1776" i="33"/>
  <c r="Q1775" i="33"/>
  <c r="Q1774" i="33"/>
  <c r="Q1773" i="33"/>
  <c r="Q1772" i="33"/>
  <c r="Q1771" i="33"/>
  <c r="Q1770" i="33"/>
  <c r="Q1769" i="33"/>
  <c r="Q1768" i="33"/>
  <c r="Q1767" i="33"/>
  <c r="Q1766" i="33"/>
  <c r="Q1765" i="33"/>
  <c r="Q1764" i="33"/>
  <c r="Q1763" i="33"/>
  <c r="Q1762" i="33"/>
  <c r="Q1761" i="33"/>
  <c r="Q1760" i="33"/>
  <c r="Q1759" i="33"/>
  <c r="Q1758" i="33"/>
  <c r="Q1757" i="33"/>
  <c r="Q1756" i="33"/>
  <c r="Q1755" i="33"/>
  <c r="Q1754" i="33"/>
  <c r="Q1753" i="33"/>
  <c r="Q1752" i="33"/>
  <c r="Q1751" i="33"/>
  <c r="Q1750" i="33"/>
  <c r="Q1749" i="33"/>
  <c r="Q1748" i="33"/>
  <c r="Q1747" i="33"/>
  <c r="Q1746" i="33"/>
  <c r="Q1745" i="33"/>
  <c r="Q1744" i="33"/>
  <c r="Q1743" i="33"/>
  <c r="Q1742" i="33"/>
  <c r="Q1741" i="33"/>
  <c r="Q1740" i="33"/>
  <c r="Q1739" i="33"/>
  <c r="Q1738" i="33"/>
  <c r="Q1737" i="33"/>
  <c r="Q1736" i="33"/>
  <c r="Q1735" i="33"/>
  <c r="Q1734" i="33"/>
  <c r="Q1733" i="33"/>
  <c r="Q1732" i="33"/>
  <c r="Q1731" i="33"/>
  <c r="Q1730" i="33"/>
  <c r="Q1729" i="33"/>
  <c r="Q1728" i="33"/>
  <c r="Q1727" i="33"/>
  <c r="Q1726" i="33"/>
  <c r="Q1725" i="33"/>
  <c r="Q1724" i="33"/>
  <c r="Q1723" i="33"/>
  <c r="Q1722" i="33"/>
  <c r="Q1721" i="33"/>
  <c r="Q1720" i="33"/>
  <c r="Q1719" i="33"/>
  <c r="Q1718" i="33"/>
  <c r="Q1717" i="33"/>
  <c r="Q1716" i="33"/>
  <c r="Q1715" i="33"/>
  <c r="Q1714" i="33"/>
  <c r="Q1713" i="33"/>
  <c r="Q1712" i="33"/>
  <c r="Q1711" i="33"/>
  <c r="Q1710" i="33"/>
  <c r="Q1709" i="33"/>
  <c r="Q1708" i="33"/>
  <c r="Q1707" i="33"/>
  <c r="Q1706" i="33"/>
  <c r="Q1705" i="33"/>
  <c r="Q1704" i="33"/>
  <c r="Q1703" i="33"/>
  <c r="Q1702" i="33"/>
  <c r="Q1701" i="33"/>
  <c r="Q1700" i="33"/>
  <c r="Q1699" i="33"/>
  <c r="Q1698" i="33"/>
  <c r="Q1697" i="33"/>
  <c r="Q1696" i="33"/>
  <c r="Q1695" i="33"/>
  <c r="Q1694" i="33"/>
  <c r="Q1693" i="33"/>
  <c r="Q1692" i="33"/>
  <c r="Q1691" i="33"/>
  <c r="Q1690" i="33"/>
  <c r="Q1689" i="33"/>
  <c r="Q1688" i="33"/>
  <c r="Q1687" i="33"/>
  <c r="Q1686" i="33"/>
  <c r="Q1685" i="33"/>
  <c r="Q1684" i="33"/>
  <c r="Q1683" i="33"/>
  <c r="Q1682" i="33"/>
  <c r="Q1681" i="33"/>
  <c r="Q1680" i="33"/>
  <c r="Q1679" i="33"/>
  <c r="Q1678" i="33"/>
  <c r="Q1677" i="33"/>
  <c r="Q1676" i="33"/>
  <c r="Q1675" i="33"/>
  <c r="Q1674" i="33"/>
  <c r="Q1673" i="33"/>
  <c r="Q1672" i="33"/>
  <c r="Q1671" i="33"/>
  <c r="Q1670" i="33"/>
  <c r="Q1669" i="33"/>
  <c r="Q1668" i="33"/>
  <c r="Q1667" i="33"/>
  <c r="Q1666" i="33"/>
  <c r="Q1665" i="33"/>
  <c r="Q1664" i="33"/>
  <c r="Q1663" i="33"/>
  <c r="Q1662" i="33"/>
  <c r="Q1661" i="33"/>
  <c r="Q1660" i="33"/>
  <c r="Q1659" i="33"/>
  <c r="Q1658" i="33"/>
  <c r="Q1657" i="33"/>
  <c r="Q1656" i="33"/>
  <c r="Q1655" i="33"/>
  <c r="Q1654" i="33"/>
  <c r="Q1653" i="33"/>
  <c r="Q1652" i="33"/>
  <c r="Q1651" i="33"/>
  <c r="Q1650" i="33"/>
  <c r="Q1649" i="33"/>
  <c r="Q1648" i="33"/>
  <c r="Q1647" i="33"/>
  <c r="Q1646" i="33"/>
  <c r="Q1645" i="33"/>
  <c r="Q1644" i="33"/>
  <c r="Q1643" i="33"/>
  <c r="Q1642" i="33"/>
  <c r="Q1641" i="33"/>
  <c r="Q1640" i="33"/>
  <c r="Q1639" i="33"/>
  <c r="Q1638" i="33"/>
  <c r="Q1637" i="33"/>
  <c r="Q1636" i="33"/>
  <c r="Q1635" i="33"/>
  <c r="Q1634" i="33"/>
  <c r="Q1633" i="33"/>
  <c r="Q1632" i="33"/>
  <c r="Q1631" i="33"/>
  <c r="Q1630" i="33"/>
  <c r="Q1629" i="33"/>
  <c r="Q1628" i="33"/>
  <c r="Q1627" i="33"/>
  <c r="Q1626" i="33"/>
  <c r="Q1625" i="33"/>
  <c r="Q1624" i="33"/>
  <c r="Q1623" i="33"/>
  <c r="Q1622" i="33"/>
  <c r="Q1621" i="33"/>
  <c r="Q1620" i="33"/>
  <c r="Q1619" i="33"/>
  <c r="Q1618" i="33"/>
  <c r="Q1617" i="33"/>
  <c r="Q1616" i="33"/>
  <c r="Q1615" i="33"/>
  <c r="Q1614" i="33"/>
  <c r="Q1613" i="33"/>
  <c r="Q1612" i="33"/>
  <c r="Q1611" i="33"/>
  <c r="Q1610" i="33"/>
  <c r="Q1609" i="33"/>
  <c r="Q1608" i="33"/>
  <c r="Q1607" i="33"/>
  <c r="Q1606" i="33"/>
  <c r="Q1605" i="33"/>
  <c r="Q1604" i="33"/>
  <c r="Q1603" i="33"/>
  <c r="Q1602" i="33"/>
  <c r="Q1601" i="33"/>
  <c r="Q1600" i="33"/>
  <c r="Q1599" i="33"/>
  <c r="Q1598" i="33"/>
  <c r="Q1597" i="33"/>
  <c r="Q1596" i="33"/>
  <c r="Q1595" i="33"/>
  <c r="Q1594" i="33"/>
  <c r="Q1593" i="33"/>
  <c r="Q1592" i="33"/>
  <c r="Q1591" i="33"/>
  <c r="Q1590" i="33"/>
  <c r="Q1589" i="33"/>
  <c r="Q1588" i="33"/>
  <c r="Q1587" i="33"/>
  <c r="Q1586" i="33"/>
  <c r="Q1585" i="33"/>
  <c r="Q1584" i="33"/>
  <c r="Q1583" i="33"/>
  <c r="Q1582" i="33"/>
  <c r="Q1581" i="33"/>
  <c r="Q1580" i="33"/>
  <c r="Q1579" i="33"/>
  <c r="Q1578" i="33"/>
  <c r="Q1577" i="33"/>
  <c r="Q1576" i="33"/>
  <c r="Q1575" i="33"/>
  <c r="Q1574" i="33"/>
  <c r="Q1573" i="33"/>
  <c r="Q1572" i="33"/>
  <c r="Q1571" i="33"/>
  <c r="Q1570" i="33"/>
  <c r="Q1569" i="33"/>
  <c r="Q1568" i="33"/>
  <c r="Q1567" i="33"/>
  <c r="Q1566" i="33"/>
  <c r="Q1565" i="33"/>
  <c r="Q1564" i="33"/>
  <c r="Q1563" i="33"/>
  <c r="Q1562" i="33"/>
  <c r="Q1561" i="33"/>
  <c r="Q1560" i="33"/>
  <c r="Q1559" i="33"/>
  <c r="Q1558" i="33"/>
  <c r="Q1557" i="33"/>
  <c r="Q1556" i="33"/>
  <c r="Q1555" i="33"/>
  <c r="Q1554" i="33"/>
  <c r="Q1553" i="33"/>
  <c r="Q1552" i="33"/>
  <c r="Q1551" i="33"/>
  <c r="Q1550" i="33"/>
  <c r="Q1549" i="33"/>
  <c r="Q1548" i="33"/>
  <c r="Q1547" i="33"/>
  <c r="Q1546" i="33"/>
  <c r="Q1545" i="33"/>
  <c r="Q1544" i="33"/>
  <c r="Q1543" i="33"/>
  <c r="Q1542" i="33"/>
  <c r="Q1541" i="33"/>
  <c r="Q1540" i="33"/>
  <c r="Q1539" i="33"/>
  <c r="Q1538" i="33"/>
  <c r="Q1537" i="33"/>
  <c r="Q1536" i="33"/>
  <c r="Q1535" i="33"/>
  <c r="Q1534" i="33"/>
  <c r="Q1533" i="33"/>
  <c r="Q1532" i="33"/>
  <c r="Q1531" i="33"/>
  <c r="Q1530" i="33"/>
  <c r="Q1529" i="33"/>
  <c r="Q1528" i="33"/>
  <c r="Q1527" i="33"/>
  <c r="Q1526" i="33"/>
  <c r="Q1525" i="33"/>
  <c r="Q1524" i="33"/>
  <c r="Q1523" i="33"/>
  <c r="Q1522" i="33"/>
  <c r="Q1521" i="33"/>
  <c r="Q1520" i="33"/>
  <c r="Q1519" i="33"/>
  <c r="Q1518" i="33"/>
  <c r="Q1517" i="33"/>
  <c r="Q1516" i="33"/>
  <c r="Q1515" i="33"/>
  <c r="Q1514" i="33"/>
  <c r="Q1513" i="33"/>
  <c r="Q1512" i="33"/>
  <c r="Q1511" i="33"/>
  <c r="Q1510" i="33"/>
  <c r="Q1509" i="33"/>
  <c r="Q1508" i="33"/>
  <c r="Q1507" i="33"/>
  <c r="Q1506" i="33"/>
  <c r="Q1505" i="33"/>
  <c r="Q1504" i="33"/>
  <c r="Q1503" i="33"/>
  <c r="Q1502" i="33"/>
  <c r="Q1501" i="33"/>
  <c r="Q1500" i="33"/>
  <c r="Q1499" i="33"/>
  <c r="Q1498" i="33"/>
  <c r="Q1497" i="33"/>
  <c r="Q1496" i="33"/>
  <c r="Q1495" i="33"/>
  <c r="Q1494" i="33"/>
  <c r="Q1493" i="33"/>
  <c r="Q1492" i="33"/>
  <c r="Q1491" i="33"/>
  <c r="Q1490" i="33"/>
  <c r="Q1489" i="33"/>
  <c r="Q1488" i="33"/>
  <c r="Q1487" i="33"/>
  <c r="Q1486" i="33"/>
  <c r="Q1485" i="33"/>
  <c r="Q1484" i="33"/>
  <c r="Q1483" i="33"/>
  <c r="Q1482" i="33"/>
  <c r="Q1481" i="33"/>
  <c r="Q1480" i="33"/>
  <c r="Q1479" i="33"/>
  <c r="Q1478" i="33"/>
  <c r="Q1477" i="33"/>
  <c r="Q1476" i="33"/>
  <c r="Q1475" i="33"/>
  <c r="Q1474" i="33"/>
  <c r="Q1473" i="33"/>
  <c r="Q1472" i="33"/>
  <c r="Q1471" i="33"/>
  <c r="Q1470" i="33"/>
  <c r="Q1469" i="33"/>
  <c r="Q1468" i="33"/>
  <c r="Q1467" i="33"/>
  <c r="Q1466" i="33"/>
  <c r="Q1465" i="33"/>
  <c r="Q1464" i="33"/>
  <c r="Q1463" i="33"/>
  <c r="Q1462" i="33"/>
  <c r="Q1461" i="33"/>
  <c r="Q1460" i="33"/>
  <c r="Q1459" i="33"/>
  <c r="Q1458" i="33"/>
  <c r="Q1457" i="33"/>
  <c r="Q1456" i="33"/>
  <c r="Q1455" i="33"/>
  <c r="Q1454" i="33"/>
  <c r="Q1453" i="33"/>
  <c r="Q1452" i="33"/>
  <c r="Q1451" i="33"/>
  <c r="Q1450" i="33"/>
  <c r="Q1449" i="33"/>
  <c r="Q1448" i="33"/>
  <c r="Q1447" i="33"/>
  <c r="Q1446" i="33"/>
  <c r="Q1445" i="33"/>
  <c r="Q1444" i="33"/>
  <c r="Q1443" i="33"/>
  <c r="Q1442" i="33"/>
  <c r="Q1441" i="33"/>
  <c r="Q1440" i="33"/>
  <c r="Q1439" i="33"/>
  <c r="Q1438" i="33"/>
  <c r="Q1437" i="33"/>
  <c r="Q1436" i="33"/>
  <c r="Q1435" i="33"/>
  <c r="Q1434" i="33"/>
  <c r="Q1433" i="33"/>
  <c r="Q1432" i="33"/>
  <c r="Q1431" i="33"/>
  <c r="Q1430" i="33"/>
  <c r="Q1429" i="33"/>
  <c r="Q1428" i="33"/>
  <c r="Q1427" i="33"/>
  <c r="Q1426" i="33"/>
  <c r="Q1425" i="33"/>
  <c r="Q1424" i="33"/>
  <c r="Q1423" i="33"/>
  <c r="Q1422" i="33"/>
  <c r="Q1421" i="33"/>
  <c r="Q1420" i="33"/>
  <c r="Q1419" i="33"/>
  <c r="Q1418" i="33"/>
  <c r="Q1417" i="33"/>
  <c r="Q1416" i="33"/>
  <c r="Q1415" i="33"/>
  <c r="Q1414" i="33"/>
  <c r="Q1413" i="33"/>
  <c r="Q1412" i="33"/>
  <c r="Q1411" i="33"/>
  <c r="Q1410" i="33"/>
  <c r="Q1409" i="33"/>
  <c r="Q1408" i="33"/>
  <c r="Q1407" i="33"/>
  <c r="Q1406" i="33"/>
  <c r="Q1405" i="33"/>
  <c r="Q1404" i="33"/>
  <c r="Q1403" i="33"/>
  <c r="Q1402" i="33"/>
  <c r="Q1401" i="33"/>
  <c r="Q1400" i="33"/>
  <c r="Q1399" i="33"/>
  <c r="Q1398" i="33"/>
  <c r="Q1397" i="33"/>
  <c r="Q1396" i="33"/>
  <c r="Q1395" i="33"/>
  <c r="Q1394" i="33"/>
  <c r="Q1393" i="33"/>
  <c r="Q1392" i="33"/>
  <c r="Q1391" i="33"/>
  <c r="Q1390" i="33"/>
  <c r="Q1389" i="33"/>
  <c r="Q1388" i="33"/>
  <c r="Q1387" i="33"/>
  <c r="Q1386" i="33"/>
  <c r="Q1385" i="33"/>
  <c r="Q1384" i="33"/>
  <c r="Q1383" i="33"/>
  <c r="Q1382" i="33"/>
  <c r="Q1381" i="33"/>
  <c r="Q1380" i="33"/>
  <c r="Q1379" i="33"/>
  <c r="Q1378" i="33"/>
  <c r="Q1377" i="33"/>
  <c r="Q1376" i="33"/>
  <c r="Q1375" i="33"/>
  <c r="Q1374" i="33"/>
  <c r="Q1373" i="33"/>
  <c r="Q1372" i="33"/>
  <c r="Q1371" i="33"/>
  <c r="Q1370" i="33"/>
  <c r="Q1369" i="33"/>
  <c r="Q1368" i="33"/>
  <c r="Q1367" i="33"/>
  <c r="Q1366" i="33"/>
  <c r="Q1365" i="33"/>
  <c r="Q1364" i="33"/>
  <c r="Q1363" i="33"/>
  <c r="Q1362" i="33"/>
  <c r="Q1361" i="33"/>
  <c r="Q1360" i="33"/>
  <c r="Q1359" i="33"/>
  <c r="Q1358" i="33"/>
  <c r="Q1357" i="33"/>
  <c r="Q1356" i="33"/>
  <c r="Q1355" i="33"/>
  <c r="Q1354" i="33"/>
  <c r="Q1353" i="33"/>
  <c r="Q1352" i="33"/>
  <c r="Q1351" i="33"/>
  <c r="Q1350" i="33"/>
  <c r="Q1349" i="33"/>
  <c r="Q1348" i="33"/>
  <c r="Q1347" i="33"/>
  <c r="Q1346" i="33"/>
  <c r="Q1345" i="33"/>
  <c r="Q1344" i="33"/>
  <c r="Q1343" i="33"/>
  <c r="Q1342" i="33"/>
  <c r="Q1341" i="33"/>
  <c r="Q1340" i="33"/>
  <c r="Q1339" i="33"/>
  <c r="Q1338" i="33"/>
  <c r="Q1337" i="33"/>
  <c r="Q1336" i="33"/>
  <c r="Q1335" i="33"/>
  <c r="Q1334" i="33"/>
  <c r="Q1333" i="33"/>
  <c r="Q1332" i="33"/>
  <c r="Q1331" i="33"/>
  <c r="Q1330" i="33"/>
  <c r="Q1329" i="33"/>
  <c r="Q1328" i="33"/>
  <c r="Q1327" i="33"/>
  <c r="Q1326" i="33"/>
  <c r="Q1325" i="33"/>
  <c r="Q1324" i="33"/>
  <c r="Q1323" i="33"/>
  <c r="Q1322" i="33"/>
  <c r="Q1321" i="33"/>
  <c r="Q1320" i="33"/>
  <c r="Q1319" i="33"/>
  <c r="Q1318" i="33"/>
  <c r="Q1317" i="33"/>
  <c r="Q1316" i="33"/>
  <c r="Q1315" i="33"/>
  <c r="Q1314" i="33"/>
  <c r="Q1313" i="33"/>
  <c r="Q1312" i="33"/>
  <c r="Q1311" i="33"/>
  <c r="Q1310" i="33"/>
  <c r="Q1309" i="33"/>
  <c r="Q1308" i="33"/>
  <c r="Q1307" i="33"/>
  <c r="Q1306" i="33"/>
  <c r="Q1305" i="33"/>
  <c r="Q1304" i="33"/>
  <c r="Q1303" i="33"/>
  <c r="Q1302" i="33"/>
  <c r="Q1301" i="33"/>
  <c r="Q1300" i="33"/>
  <c r="Q1299" i="33"/>
  <c r="Q1298" i="33"/>
  <c r="Q1297" i="33"/>
  <c r="Q1296" i="33"/>
  <c r="Q1295" i="33"/>
  <c r="Q1294" i="33"/>
  <c r="Q1293" i="33"/>
  <c r="Q1292" i="33"/>
  <c r="Q1291" i="33"/>
  <c r="Q1290" i="33"/>
  <c r="Q1289" i="33"/>
  <c r="Q1288" i="33"/>
  <c r="Q1287" i="33"/>
  <c r="Q1286" i="33"/>
  <c r="Q1285" i="33"/>
  <c r="Q1284" i="33"/>
  <c r="Q1283" i="33"/>
  <c r="Q1282" i="33"/>
  <c r="Q1281" i="33"/>
  <c r="Q1280" i="33"/>
  <c r="Q1279" i="33"/>
  <c r="Q1278" i="33"/>
  <c r="Q1277" i="33"/>
  <c r="Q1276" i="33"/>
  <c r="Q1275" i="33"/>
  <c r="Q1274" i="33"/>
  <c r="Q1273" i="33"/>
  <c r="Q1272" i="33"/>
  <c r="Q1271" i="33"/>
  <c r="Q1270" i="33"/>
  <c r="Q1269" i="33"/>
  <c r="Q1268" i="33"/>
  <c r="Q1267" i="33"/>
  <c r="Q1266" i="33"/>
  <c r="Q1265" i="33"/>
  <c r="Q1264" i="33"/>
  <c r="Q1263" i="33"/>
  <c r="Q1262" i="33"/>
  <c r="Q1261" i="33"/>
  <c r="Q1260" i="33"/>
  <c r="Q1259" i="33"/>
  <c r="Q1258" i="33"/>
  <c r="Q1257" i="33"/>
  <c r="Q1256" i="33"/>
  <c r="Q1255" i="33"/>
  <c r="Q1254" i="33"/>
  <c r="Q1253" i="33"/>
  <c r="Q1252" i="33"/>
  <c r="Q1251" i="33"/>
  <c r="Q1250" i="33"/>
  <c r="Q1249" i="33"/>
  <c r="Q1248" i="33"/>
  <c r="Q1247" i="33"/>
  <c r="Q1246" i="33"/>
  <c r="Q1245" i="33"/>
  <c r="Q1244" i="33"/>
  <c r="Q1243" i="33"/>
  <c r="Q1242" i="33"/>
  <c r="Q1241" i="33"/>
  <c r="Q1240" i="33"/>
  <c r="Q1239" i="33"/>
  <c r="Q1238" i="33"/>
  <c r="Q1237" i="33"/>
  <c r="Q1236" i="33"/>
  <c r="Q1235" i="33"/>
  <c r="Q1234" i="33"/>
  <c r="Q1233" i="33"/>
  <c r="Q1232" i="33"/>
  <c r="Q1231" i="33"/>
  <c r="Q1230" i="33"/>
  <c r="Q1229" i="33"/>
  <c r="Q1228" i="33"/>
  <c r="Q1227" i="33"/>
  <c r="Q1226" i="33"/>
  <c r="Q1225" i="33"/>
  <c r="Q1224" i="33"/>
  <c r="Q1223" i="33"/>
  <c r="Q1222" i="33"/>
  <c r="Q1221" i="33"/>
  <c r="Q1220" i="33"/>
  <c r="Q1219" i="33"/>
  <c r="Q1218" i="33"/>
  <c r="Q1217" i="33"/>
  <c r="Q1216" i="33"/>
  <c r="Q1215" i="33"/>
  <c r="Q1214" i="33"/>
  <c r="Q1213" i="33"/>
  <c r="Q1212" i="33"/>
  <c r="Q1211" i="33"/>
  <c r="Q1210" i="33"/>
  <c r="Q1209" i="33"/>
  <c r="Q1208" i="33"/>
  <c r="Q1207" i="33"/>
  <c r="Q1206" i="33"/>
  <c r="Q1205" i="33"/>
  <c r="Q1204" i="33"/>
  <c r="Q1203" i="33"/>
  <c r="Q1202" i="33"/>
  <c r="Q1201" i="33"/>
  <c r="Q1200" i="33"/>
  <c r="Q1199" i="33"/>
  <c r="Q1198" i="33"/>
  <c r="Q1197" i="33"/>
  <c r="Q1196" i="33"/>
  <c r="Q1195" i="33"/>
  <c r="Q1194" i="33"/>
  <c r="Q1193" i="33"/>
  <c r="Q1192" i="33"/>
  <c r="Q1191" i="33"/>
  <c r="Q1190" i="33"/>
  <c r="Q1189" i="33"/>
  <c r="Q1188" i="33"/>
  <c r="Q1187" i="33"/>
  <c r="Q1186" i="33"/>
  <c r="Q1185" i="33"/>
  <c r="Q1184" i="33"/>
  <c r="Q1183" i="33"/>
  <c r="Q1182" i="33"/>
  <c r="Q1181" i="33"/>
  <c r="Q1180" i="33"/>
  <c r="Q1179" i="33"/>
  <c r="Q1178" i="33"/>
  <c r="Q1177" i="33"/>
  <c r="Q1176" i="33"/>
  <c r="Q1175" i="33"/>
  <c r="Q1174" i="33"/>
  <c r="Q1173" i="33"/>
  <c r="Q1172" i="33"/>
  <c r="Q1171" i="33"/>
  <c r="Q1170" i="33"/>
  <c r="Q1169" i="33"/>
  <c r="Q1168" i="33"/>
  <c r="Q1167" i="33"/>
  <c r="Q1166" i="33"/>
  <c r="Q1165" i="33"/>
  <c r="Q1164" i="33"/>
  <c r="Q1163" i="33"/>
  <c r="Q1162" i="33"/>
  <c r="Q1161" i="33"/>
  <c r="Q1160" i="33"/>
  <c r="Q1159" i="33"/>
  <c r="Q1158" i="33"/>
  <c r="Q1157" i="33"/>
  <c r="Q1156" i="33"/>
  <c r="Q1155" i="33"/>
  <c r="Q1154" i="33"/>
  <c r="Q1153" i="33"/>
  <c r="Q1152" i="33"/>
  <c r="Q1151" i="33"/>
  <c r="Q1150" i="33"/>
  <c r="Q1149" i="33"/>
  <c r="Q1148" i="33"/>
  <c r="Q1147" i="33"/>
  <c r="Q1146" i="33"/>
  <c r="Q1145" i="33"/>
  <c r="Q1144" i="33"/>
  <c r="Q1143" i="33"/>
  <c r="Q1142" i="33"/>
  <c r="Q1141" i="33"/>
  <c r="Q1140" i="33"/>
  <c r="Q1139" i="33"/>
  <c r="Q1138" i="33"/>
  <c r="Q1137" i="33"/>
  <c r="Q1136" i="33"/>
  <c r="Q1135" i="33"/>
  <c r="Q1134" i="33"/>
  <c r="Q1133" i="33"/>
  <c r="Q1132" i="33"/>
  <c r="Q1131" i="33"/>
  <c r="Q1130" i="33"/>
  <c r="Q1129" i="33"/>
  <c r="Q1128" i="33"/>
  <c r="Q1127" i="33"/>
  <c r="Q1126" i="33"/>
  <c r="Q1125" i="33"/>
  <c r="Q1124" i="33"/>
  <c r="Q1123" i="33"/>
  <c r="Q1122" i="33"/>
  <c r="Q1121" i="33"/>
  <c r="Q1120" i="33"/>
  <c r="Q1119" i="33"/>
  <c r="Q1118" i="33"/>
  <c r="Q1117" i="33"/>
  <c r="Q1116" i="33"/>
  <c r="Q1115" i="33"/>
  <c r="Q1114" i="33"/>
  <c r="Q1113" i="33"/>
  <c r="Q1112" i="33"/>
  <c r="Q1111" i="33"/>
  <c r="Q1110" i="33"/>
  <c r="Q1109" i="33"/>
  <c r="Q1108" i="33"/>
  <c r="Q1107" i="33"/>
  <c r="Q1106" i="33"/>
  <c r="Q1105" i="33"/>
  <c r="Q1104" i="33"/>
  <c r="Q1103" i="33"/>
  <c r="Q1102" i="33"/>
  <c r="Q1101" i="33"/>
  <c r="Q1100" i="33"/>
  <c r="Q1099" i="33"/>
  <c r="Q1098" i="33"/>
  <c r="Q1097" i="33"/>
  <c r="Q1096" i="33"/>
  <c r="Q1095" i="33"/>
  <c r="Q1094" i="33"/>
  <c r="Q1093" i="33"/>
  <c r="Q1092" i="33"/>
  <c r="Q1091" i="33"/>
  <c r="Q1090" i="33"/>
  <c r="Q1089" i="33"/>
  <c r="Q1088" i="33"/>
  <c r="Q1087" i="33"/>
  <c r="Q1086" i="33"/>
  <c r="Q1085" i="33"/>
  <c r="Q1084" i="33"/>
  <c r="Q1083" i="33"/>
  <c r="Q1082" i="33"/>
  <c r="Q1081" i="33"/>
  <c r="Q1080" i="33"/>
  <c r="Q1079" i="33"/>
  <c r="Q1078" i="33"/>
  <c r="Q1077" i="33"/>
  <c r="Q1076" i="33"/>
  <c r="Q1075" i="33"/>
  <c r="Q1074" i="33"/>
  <c r="Q1073" i="33"/>
  <c r="Q1072" i="33"/>
  <c r="Q1071" i="33"/>
  <c r="Q1070" i="33"/>
  <c r="Q1069" i="33"/>
  <c r="Q1068" i="33"/>
  <c r="Q1067" i="33"/>
  <c r="Q1066" i="33"/>
  <c r="Q1065" i="33"/>
  <c r="Q1064" i="33"/>
  <c r="Q1063" i="33"/>
  <c r="Q1062" i="33"/>
  <c r="Q1061" i="33"/>
  <c r="Q1060" i="33"/>
  <c r="Q1059" i="33"/>
  <c r="Q1058" i="33"/>
  <c r="Q1057" i="33"/>
  <c r="Q1056" i="33"/>
  <c r="Q1055" i="33"/>
  <c r="Q1054" i="33"/>
  <c r="Q1053" i="33"/>
  <c r="Q1052" i="33"/>
  <c r="Q1051" i="33"/>
  <c r="Q1050" i="33"/>
  <c r="Q1049" i="33"/>
  <c r="Q1048" i="33"/>
  <c r="Q1047" i="33"/>
  <c r="Q1046" i="33"/>
  <c r="Q1045" i="33"/>
  <c r="Q1044" i="33"/>
  <c r="Q1043" i="33"/>
  <c r="Q1042" i="33"/>
  <c r="Q1041" i="33"/>
  <c r="Q1040" i="33"/>
  <c r="Q1039" i="33"/>
  <c r="Q1038" i="33"/>
  <c r="Q1037" i="33"/>
  <c r="Q1036" i="33"/>
  <c r="Q1035" i="33"/>
  <c r="Q1034" i="33"/>
  <c r="Q1033" i="33"/>
  <c r="Q1032" i="33"/>
  <c r="Q1031" i="33"/>
  <c r="Q1030" i="33"/>
  <c r="Q1029" i="33"/>
  <c r="Q1028" i="33"/>
  <c r="Q1027" i="33"/>
  <c r="Q1026" i="33"/>
  <c r="Q1025" i="33"/>
  <c r="Q1024" i="33"/>
  <c r="Q1023" i="33"/>
  <c r="Q1022" i="33"/>
  <c r="Q1021" i="33"/>
  <c r="Q1020" i="33"/>
  <c r="Q1019" i="33"/>
  <c r="Q1018" i="33"/>
  <c r="Q1017" i="33"/>
  <c r="Q1016" i="33"/>
  <c r="Q1015" i="33"/>
  <c r="Q1014" i="33"/>
  <c r="Q1013" i="33"/>
  <c r="Q1012" i="33"/>
  <c r="Q1011" i="33"/>
  <c r="Q1010" i="33"/>
  <c r="Q1009" i="33"/>
  <c r="Q1008" i="33"/>
  <c r="Q1007" i="33"/>
  <c r="Q1006" i="33"/>
  <c r="Q1005" i="33"/>
  <c r="Q1004" i="33"/>
  <c r="Q1003" i="33"/>
  <c r="Q1002" i="33"/>
  <c r="Q1001" i="33"/>
  <c r="Q1000" i="33"/>
  <c r="Q999" i="33"/>
  <c r="Q998" i="33"/>
  <c r="Q997" i="33"/>
  <c r="Q996" i="33"/>
  <c r="Q995" i="33"/>
  <c r="Q994" i="33"/>
  <c r="Q993" i="33"/>
  <c r="Q992" i="33"/>
  <c r="Q991" i="33"/>
  <c r="Q990" i="33"/>
  <c r="Q989" i="33"/>
  <c r="Q988" i="33"/>
  <c r="Q987" i="33"/>
  <c r="Q986" i="33"/>
  <c r="Q985" i="33"/>
  <c r="Q984" i="33"/>
  <c r="Q983" i="33"/>
  <c r="Q982" i="33"/>
  <c r="Q981" i="33"/>
  <c r="Q980" i="33"/>
  <c r="Q979" i="33"/>
  <c r="Q978" i="33"/>
  <c r="Q977" i="33"/>
  <c r="Q976" i="33"/>
  <c r="Q975" i="33"/>
  <c r="Q974" i="33"/>
  <c r="Q973" i="33"/>
  <c r="Q972" i="33"/>
  <c r="Q971" i="33"/>
  <c r="Q970" i="33"/>
  <c r="Q969" i="33"/>
  <c r="Q968" i="33"/>
  <c r="Q967" i="33"/>
  <c r="Q966" i="33"/>
  <c r="Q965" i="33"/>
  <c r="Q964" i="33"/>
  <c r="Q963" i="33"/>
  <c r="Q962" i="33"/>
  <c r="Q961" i="33"/>
  <c r="Q960" i="33"/>
  <c r="Q959" i="33"/>
  <c r="Q958" i="33"/>
  <c r="Q957" i="33"/>
  <c r="Q956" i="33"/>
  <c r="Q955" i="33"/>
  <c r="Q954" i="33"/>
  <c r="Q953" i="33"/>
  <c r="Q952" i="33"/>
  <c r="Q951" i="33"/>
  <c r="Q950" i="33"/>
  <c r="Q949" i="33"/>
  <c r="Q948" i="33"/>
  <c r="Q947" i="33"/>
  <c r="Q946" i="33"/>
  <c r="Q945" i="33"/>
  <c r="Q944" i="33"/>
  <c r="Q943" i="33"/>
  <c r="Q942" i="33"/>
  <c r="Q941" i="33"/>
  <c r="Q940" i="33"/>
  <c r="Q939" i="33"/>
  <c r="Q938" i="33"/>
  <c r="Q937" i="33"/>
  <c r="Q936" i="33"/>
  <c r="Q935" i="33"/>
  <c r="Q934" i="33"/>
  <c r="Q933" i="33"/>
  <c r="Q932" i="33"/>
  <c r="Q931" i="33"/>
  <c r="Q930" i="33"/>
  <c r="Q929" i="33"/>
  <c r="Q928" i="33"/>
  <c r="Q927" i="33"/>
  <c r="Q926" i="33"/>
  <c r="Q925" i="33"/>
  <c r="Q924" i="33"/>
  <c r="Q923" i="33"/>
  <c r="Q922" i="33"/>
  <c r="Q921" i="33"/>
  <c r="Q920" i="33"/>
  <c r="Q919" i="33"/>
  <c r="Q918" i="33"/>
  <c r="Q917" i="33"/>
  <c r="Q916" i="33"/>
  <c r="Q915" i="33"/>
  <c r="Q914" i="33"/>
  <c r="Q913" i="33"/>
  <c r="Q912" i="33"/>
  <c r="Q911" i="33"/>
  <c r="Q910" i="33"/>
  <c r="Q909" i="33"/>
  <c r="Q908" i="33"/>
  <c r="Q907" i="33"/>
  <c r="Q906" i="33"/>
  <c r="Q905" i="33"/>
  <c r="Q904" i="33"/>
  <c r="Q903" i="33"/>
  <c r="Q902" i="33"/>
  <c r="Q901" i="33"/>
  <c r="Q900" i="33"/>
  <c r="Q899" i="33"/>
  <c r="Q898" i="33"/>
  <c r="Q897" i="33"/>
  <c r="Q896" i="33"/>
  <c r="Q895" i="33"/>
  <c r="Q894" i="33"/>
  <c r="Q893" i="33"/>
  <c r="Q892" i="33"/>
  <c r="Q891" i="33"/>
  <c r="Q890" i="33"/>
  <c r="Q889" i="33"/>
  <c r="Q888" i="33"/>
  <c r="Q887" i="33"/>
  <c r="Q886" i="33"/>
  <c r="Q885" i="33"/>
  <c r="Q884" i="33"/>
  <c r="Q883" i="33"/>
  <c r="Q882" i="33"/>
  <c r="Q881" i="33"/>
  <c r="Q880" i="33"/>
  <c r="Q879" i="33"/>
  <c r="Q878" i="33"/>
  <c r="Q877" i="33"/>
  <c r="Q876" i="33"/>
  <c r="Q875" i="33"/>
  <c r="Q874" i="33"/>
  <c r="Q873" i="33"/>
  <c r="Q872" i="33"/>
  <c r="Q871" i="33"/>
  <c r="Q870" i="33"/>
  <c r="Q869" i="33"/>
  <c r="Q868" i="33"/>
  <c r="Q867" i="33"/>
  <c r="Q866" i="33"/>
  <c r="Q865" i="33"/>
  <c r="Q864" i="33"/>
  <c r="Q863" i="33"/>
  <c r="Q862" i="33"/>
  <c r="Q861" i="33"/>
  <c r="Q860" i="33"/>
  <c r="Q859" i="33"/>
  <c r="Q858" i="33"/>
  <c r="Q857" i="33"/>
  <c r="Q856" i="33"/>
  <c r="Q855" i="33"/>
  <c r="Q854" i="33"/>
  <c r="Q853" i="33"/>
  <c r="Q852" i="33"/>
  <c r="Q851" i="33"/>
  <c r="Q850" i="33"/>
  <c r="Q849" i="33"/>
  <c r="Q848" i="33"/>
  <c r="Q847" i="33"/>
  <c r="Q846" i="33"/>
  <c r="Q845" i="33"/>
  <c r="Q844" i="33"/>
  <c r="Q843" i="33"/>
  <c r="Q842" i="33"/>
  <c r="Q841" i="33"/>
  <c r="Q840" i="33"/>
  <c r="Q839" i="33"/>
  <c r="Q838" i="33"/>
  <c r="Q837" i="33"/>
  <c r="Q836" i="33"/>
  <c r="Q835" i="33"/>
  <c r="Q834" i="33"/>
  <c r="Q833" i="33"/>
  <c r="Q832" i="33"/>
  <c r="Q831" i="33"/>
  <c r="Q830" i="33"/>
  <c r="Q829" i="33"/>
  <c r="Q828" i="33"/>
  <c r="Q827" i="33"/>
  <c r="Q826" i="33"/>
  <c r="Q825" i="33"/>
  <c r="Q824" i="33"/>
  <c r="Q823" i="33"/>
  <c r="Q822" i="33"/>
  <c r="Q821" i="33"/>
  <c r="Q820" i="33"/>
  <c r="Q819" i="33"/>
  <c r="Q818" i="33"/>
  <c r="Q817" i="33"/>
  <c r="Q816" i="33"/>
  <c r="Q815" i="33"/>
  <c r="Q814" i="33"/>
  <c r="Q813" i="33"/>
  <c r="Q812" i="33"/>
  <c r="Q811" i="33"/>
  <c r="Q810" i="33"/>
  <c r="Q809" i="33"/>
  <c r="Q808" i="33"/>
  <c r="Q807" i="33"/>
  <c r="Q806" i="33"/>
  <c r="Q805" i="33"/>
  <c r="Q804" i="33"/>
  <c r="Q803" i="33"/>
  <c r="Q802" i="33"/>
  <c r="Q801" i="33"/>
  <c r="Q800" i="33"/>
  <c r="Q799" i="33"/>
  <c r="Q798" i="33"/>
  <c r="Q797" i="33"/>
  <c r="Q796" i="33"/>
  <c r="Q795" i="33"/>
  <c r="Q794" i="33"/>
  <c r="Q793" i="33"/>
  <c r="Q792" i="33"/>
  <c r="Q791" i="33"/>
  <c r="Q790" i="33"/>
  <c r="Q789" i="33"/>
  <c r="Q788" i="33"/>
  <c r="Q787" i="33"/>
  <c r="Q786" i="33"/>
  <c r="Q785" i="33"/>
  <c r="Q784" i="33"/>
  <c r="Q783" i="33"/>
  <c r="Q782" i="33"/>
  <c r="Q781" i="33"/>
  <c r="Q780" i="33"/>
  <c r="Q779" i="33"/>
  <c r="Q778" i="33"/>
  <c r="Q777" i="33"/>
  <c r="Q776" i="33"/>
  <c r="Q775" i="33"/>
  <c r="Q774" i="33"/>
  <c r="Q773" i="33"/>
  <c r="Q772" i="33"/>
  <c r="Q771" i="33"/>
  <c r="Q770" i="33"/>
  <c r="Q769" i="33"/>
  <c r="Q768" i="33"/>
  <c r="Q767" i="33"/>
  <c r="Q766" i="33"/>
  <c r="Q765" i="33"/>
  <c r="Q764" i="33"/>
  <c r="Q763" i="33"/>
  <c r="Q762" i="33"/>
  <c r="Q761" i="33"/>
  <c r="Q760" i="33"/>
  <c r="Q759" i="33"/>
  <c r="Q758" i="33"/>
  <c r="Q757" i="33"/>
  <c r="Q756" i="33"/>
  <c r="Q755" i="33"/>
  <c r="Q754" i="33"/>
  <c r="Q753" i="33"/>
  <c r="Q752" i="33"/>
  <c r="Q751" i="33"/>
  <c r="Q750" i="33"/>
  <c r="Q749" i="33"/>
  <c r="Q748" i="33"/>
  <c r="Q747" i="33"/>
  <c r="Q746" i="33"/>
  <c r="Q745" i="33"/>
  <c r="Q744" i="33"/>
  <c r="Q743" i="33"/>
  <c r="Q742" i="33"/>
  <c r="Q741" i="33"/>
  <c r="Q740" i="33"/>
  <c r="Q739" i="33"/>
  <c r="Q738" i="33"/>
  <c r="Q737" i="33"/>
  <c r="Q736" i="33"/>
  <c r="Q735" i="33"/>
  <c r="Q734" i="33"/>
  <c r="Q733" i="33"/>
  <c r="Q732" i="33"/>
  <c r="Q731" i="33"/>
  <c r="Q730" i="33"/>
  <c r="Q729" i="33"/>
  <c r="Q728" i="33"/>
  <c r="Q727" i="33"/>
  <c r="Q726" i="33"/>
  <c r="Q725" i="33"/>
  <c r="Q724" i="33"/>
  <c r="Q723" i="33"/>
  <c r="Q722" i="33"/>
  <c r="Q721" i="33"/>
  <c r="Q720" i="33"/>
  <c r="Q719" i="33"/>
  <c r="Q718" i="33"/>
  <c r="Q717" i="33"/>
  <c r="Q716" i="33"/>
  <c r="Q715" i="33"/>
  <c r="Q714" i="33"/>
  <c r="Q713" i="33"/>
  <c r="Q712" i="33"/>
  <c r="Q711" i="33"/>
  <c r="Q710" i="33"/>
  <c r="Q709" i="33"/>
  <c r="Q708" i="33"/>
  <c r="Q707" i="33"/>
  <c r="Q706" i="33"/>
  <c r="Q705" i="33"/>
  <c r="Q704" i="33"/>
  <c r="Q703" i="33"/>
  <c r="Q702" i="33"/>
  <c r="Q701" i="33"/>
  <c r="Q700" i="33"/>
  <c r="Q699" i="33"/>
  <c r="Q698" i="33"/>
  <c r="Q697" i="33"/>
  <c r="Q696" i="33"/>
  <c r="Q695" i="33"/>
  <c r="Q694" i="33"/>
  <c r="Q693" i="33"/>
  <c r="Q692" i="33"/>
  <c r="Q691" i="33"/>
  <c r="Q690" i="33"/>
  <c r="Q689" i="33"/>
  <c r="Q688" i="33"/>
  <c r="Q687" i="33"/>
  <c r="Q686" i="33"/>
  <c r="Q685" i="33"/>
  <c r="Q684" i="33"/>
  <c r="Q683" i="33"/>
  <c r="Q682" i="33"/>
  <c r="Q681" i="33"/>
  <c r="Q680" i="33"/>
  <c r="Q679" i="33"/>
  <c r="Q678" i="33"/>
  <c r="Q677" i="33"/>
  <c r="Q676" i="33"/>
  <c r="Q675" i="33"/>
  <c r="Q674" i="33"/>
  <c r="Q673" i="33"/>
  <c r="Q672" i="33"/>
  <c r="Q671" i="33"/>
  <c r="Q670" i="33"/>
  <c r="Q669" i="33"/>
  <c r="Q668" i="33"/>
  <c r="Q667" i="33"/>
  <c r="Q666" i="33"/>
  <c r="Q665" i="33"/>
  <c r="Q664" i="33"/>
  <c r="Q663" i="33"/>
  <c r="Q662" i="33"/>
  <c r="Q661" i="33"/>
  <c r="Q660" i="33"/>
  <c r="Q659" i="33"/>
  <c r="Q658" i="33"/>
  <c r="Q657" i="33"/>
  <c r="Q656" i="33"/>
  <c r="Q655" i="33"/>
  <c r="Q654" i="33"/>
  <c r="Q653" i="33"/>
  <c r="Q652" i="33"/>
  <c r="Q651" i="33"/>
  <c r="Q650" i="33"/>
  <c r="Q649" i="33"/>
  <c r="Q648" i="33"/>
  <c r="Q647" i="33"/>
  <c r="Q646" i="33"/>
  <c r="Q645" i="33"/>
  <c r="Q644" i="33"/>
  <c r="Q643" i="33"/>
  <c r="Q642" i="33"/>
  <c r="Q641" i="33"/>
  <c r="Q640" i="33"/>
  <c r="Q639" i="33"/>
  <c r="Q638" i="33"/>
  <c r="Q637" i="33"/>
  <c r="Q636" i="33"/>
  <c r="Q635" i="33"/>
  <c r="Q634" i="33"/>
  <c r="Q633" i="33"/>
  <c r="Q632" i="33"/>
  <c r="Q631" i="33"/>
  <c r="Q630" i="33"/>
  <c r="Q629" i="33"/>
  <c r="Q628" i="33"/>
  <c r="Q627" i="33"/>
  <c r="Q626" i="33"/>
  <c r="Q625" i="33"/>
  <c r="Q624" i="33"/>
  <c r="Q623" i="33"/>
  <c r="Q622" i="33"/>
  <c r="Q621" i="33"/>
  <c r="Q620" i="33"/>
  <c r="Q619" i="33"/>
  <c r="Q618" i="33"/>
  <c r="Q617" i="33"/>
  <c r="Q616" i="33"/>
  <c r="Q615" i="33"/>
  <c r="Q614" i="33"/>
  <c r="Q613" i="33"/>
  <c r="Q612" i="33"/>
  <c r="Q611" i="33"/>
  <c r="Q610" i="33"/>
  <c r="Q609" i="33"/>
  <c r="Q608" i="33"/>
  <c r="Q607" i="33"/>
  <c r="Q606" i="33"/>
  <c r="Q605" i="33"/>
  <c r="Q604" i="33"/>
  <c r="Q603" i="33"/>
  <c r="Q602" i="33"/>
  <c r="Q601" i="33"/>
  <c r="Q600" i="33"/>
  <c r="Q599" i="33"/>
  <c r="Q598" i="33"/>
  <c r="Q597" i="33"/>
  <c r="Q596" i="33"/>
  <c r="Q595" i="33"/>
  <c r="Q594" i="33"/>
  <c r="Q593" i="33"/>
  <c r="Q592" i="33"/>
  <c r="Q591" i="33"/>
  <c r="Q590" i="33"/>
  <c r="Q589" i="33"/>
  <c r="Q588" i="33"/>
  <c r="Q587" i="33"/>
  <c r="Q586" i="33"/>
  <c r="Q585" i="33"/>
  <c r="Q584" i="33"/>
  <c r="Q583" i="33"/>
  <c r="Q582" i="33"/>
  <c r="Q581" i="33"/>
  <c r="Q580" i="33"/>
  <c r="Q579" i="33"/>
  <c r="Q578" i="33"/>
  <c r="Q577" i="33"/>
  <c r="Q576" i="33"/>
  <c r="Q575" i="33"/>
  <c r="Q574" i="33"/>
  <c r="Q573" i="33"/>
  <c r="Q572" i="33"/>
  <c r="Q571" i="33"/>
  <c r="Q570" i="33"/>
  <c r="Q569" i="33"/>
  <c r="Q568" i="33"/>
  <c r="Q567" i="33"/>
  <c r="Q566" i="33"/>
  <c r="Q565" i="33"/>
  <c r="Q564" i="33"/>
  <c r="Q563" i="33"/>
  <c r="Q562" i="33"/>
  <c r="Q561" i="33"/>
  <c r="Q560" i="33"/>
  <c r="Q559" i="33"/>
  <c r="Q558" i="33"/>
  <c r="Q557" i="33"/>
  <c r="Q556" i="33"/>
  <c r="Q555" i="33"/>
  <c r="Q554" i="33"/>
  <c r="Q553" i="33"/>
  <c r="Q552" i="33"/>
  <c r="Q551" i="33"/>
  <c r="Q550" i="33"/>
  <c r="Q549" i="33"/>
  <c r="Q548" i="33"/>
  <c r="Q547" i="33"/>
  <c r="Q546" i="33"/>
  <c r="Q545" i="33"/>
  <c r="Q544" i="33"/>
  <c r="Q543" i="33"/>
  <c r="Q542" i="33"/>
  <c r="Q541" i="33"/>
  <c r="Q540" i="33"/>
  <c r="Q539" i="33"/>
  <c r="Q538" i="33"/>
  <c r="Q537" i="33"/>
  <c r="Q536" i="33"/>
  <c r="Q535" i="33"/>
  <c r="Q534" i="33"/>
  <c r="Q533" i="33"/>
  <c r="Q532" i="33"/>
  <c r="Q531" i="33"/>
  <c r="Q530" i="33"/>
  <c r="Q529" i="33"/>
  <c r="Q528" i="33"/>
  <c r="Q527" i="33"/>
  <c r="Q526" i="33"/>
  <c r="Q525" i="33"/>
  <c r="Q524" i="33"/>
  <c r="Q523" i="33"/>
  <c r="Q522" i="33"/>
  <c r="Q521" i="33"/>
  <c r="Q520" i="33"/>
  <c r="Q519" i="33"/>
  <c r="Q518" i="33"/>
  <c r="Q517" i="33"/>
  <c r="Q516" i="33"/>
  <c r="Q515" i="33"/>
  <c r="Q514" i="33"/>
  <c r="Q513" i="33"/>
  <c r="Q512" i="33"/>
  <c r="Q511" i="33"/>
  <c r="Q510" i="33"/>
  <c r="Q509" i="33"/>
  <c r="Q508" i="33"/>
  <c r="Q507" i="33"/>
  <c r="Q506" i="33"/>
  <c r="Q505" i="33"/>
  <c r="Q504" i="33"/>
  <c r="Q503" i="33"/>
  <c r="Q502" i="33"/>
  <c r="Q501" i="33"/>
  <c r="Q500" i="33"/>
  <c r="Q499" i="33"/>
  <c r="Q498" i="33"/>
  <c r="Q497" i="33"/>
  <c r="Q496" i="33"/>
  <c r="Q495" i="33"/>
  <c r="Q494" i="33"/>
  <c r="Q493" i="33"/>
  <c r="Q492" i="33"/>
  <c r="Q491" i="33"/>
  <c r="Q490" i="33"/>
  <c r="Q489" i="33"/>
  <c r="Q488" i="33"/>
  <c r="Q487" i="33"/>
  <c r="Q486" i="33"/>
  <c r="Q485" i="33"/>
  <c r="Q484" i="33"/>
  <c r="Q483" i="33"/>
  <c r="Q482" i="33"/>
  <c r="Q481" i="33"/>
  <c r="Q480" i="33"/>
  <c r="Q479" i="33"/>
  <c r="Q478" i="33"/>
  <c r="Q477" i="33"/>
  <c r="Q476" i="33"/>
  <c r="Q475" i="33"/>
  <c r="Q474" i="33"/>
  <c r="Q473" i="33"/>
  <c r="Q472" i="33"/>
  <c r="Q471" i="33"/>
  <c r="Q470" i="33"/>
  <c r="Q469" i="33"/>
  <c r="Q468" i="33"/>
  <c r="Q467" i="33"/>
  <c r="Q466" i="33"/>
  <c r="Q465" i="33"/>
  <c r="Q464" i="33"/>
  <c r="Q463" i="33"/>
  <c r="Q462" i="33"/>
  <c r="Q461" i="33"/>
  <c r="Q460" i="33"/>
  <c r="Q459" i="33"/>
  <c r="Q458" i="33"/>
  <c r="Q457" i="33"/>
  <c r="Q456" i="33"/>
  <c r="Q455" i="33"/>
  <c r="Q454" i="33"/>
  <c r="Q453" i="33"/>
  <c r="Q452" i="33"/>
  <c r="Q451" i="33"/>
  <c r="Q450" i="33"/>
  <c r="Q449" i="33"/>
  <c r="Q448" i="33"/>
  <c r="Q447" i="33"/>
  <c r="Q446" i="33"/>
  <c r="Q445" i="33"/>
  <c r="Q444" i="33"/>
  <c r="Q443" i="33"/>
  <c r="Q442" i="33"/>
  <c r="Q441" i="33"/>
  <c r="Q440" i="33"/>
  <c r="Q439" i="33"/>
  <c r="Q438" i="33"/>
  <c r="Q437" i="33"/>
  <c r="Q436" i="33"/>
  <c r="Q435" i="33"/>
  <c r="Q434" i="33"/>
  <c r="Q433" i="33"/>
  <c r="Q432" i="33"/>
  <c r="Q431" i="33"/>
  <c r="Q430" i="33"/>
  <c r="Q429" i="33"/>
  <c r="Q428" i="33"/>
  <c r="Q427" i="33"/>
  <c r="Q426" i="33"/>
  <c r="Q425" i="33"/>
  <c r="Q424" i="33"/>
  <c r="Q423" i="33"/>
  <c r="Q422" i="33"/>
  <c r="Q421" i="33"/>
  <c r="Q420" i="33"/>
  <c r="Q419" i="33"/>
  <c r="Q418" i="33"/>
  <c r="Q417" i="33"/>
  <c r="Q416" i="33"/>
  <c r="Q415" i="33"/>
  <c r="Q414" i="33"/>
  <c r="Q413" i="33"/>
  <c r="Q412" i="33"/>
  <c r="Q411" i="33"/>
  <c r="Q410" i="33"/>
  <c r="Q409" i="33"/>
  <c r="Q408" i="33"/>
  <c r="Q407" i="33"/>
  <c r="Q406" i="33"/>
  <c r="Q405" i="33"/>
  <c r="Q404" i="33"/>
  <c r="Q403" i="33"/>
  <c r="Q402" i="33"/>
  <c r="Q401" i="33"/>
  <c r="Q400" i="33"/>
  <c r="Q399" i="33"/>
  <c r="Q398" i="33"/>
  <c r="Q397" i="33"/>
  <c r="Q396" i="33"/>
  <c r="Q395" i="33"/>
  <c r="Q394" i="33"/>
  <c r="Q393" i="33"/>
  <c r="Q392" i="33"/>
  <c r="Q391" i="33"/>
  <c r="Q390" i="33"/>
  <c r="Q389" i="33"/>
  <c r="Q388" i="33"/>
  <c r="Q387" i="33"/>
  <c r="Q386" i="33"/>
  <c r="Q385" i="33"/>
  <c r="Q384" i="33"/>
  <c r="Q383" i="33"/>
  <c r="Q382" i="33"/>
  <c r="Q381" i="33"/>
  <c r="Q380" i="33"/>
  <c r="Q379" i="33"/>
  <c r="Q378" i="33"/>
  <c r="Q377" i="33"/>
  <c r="Q376" i="33"/>
  <c r="Q375" i="33"/>
  <c r="Q374" i="33"/>
  <c r="Q373" i="33"/>
  <c r="Q372" i="33"/>
  <c r="Q371" i="33"/>
  <c r="Q370" i="33"/>
  <c r="Q369" i="33"/>
  <c r="Q368" i="33"/>
  <c r="Q367" i="33"/>
  <c r="Q366" i="33"/>
  <c r="Q365" i="33"/>
  <c r="Q364" i="33"/>
  <c r="Q363" i="33"/>
  <c r="Q362" i="33"/>
  <c r="Q361" i="33"/>
  <c r="Q360" i="33"/>
  <c r="Q359" i="33"/>
  <c r="Q358" i="33"/>
  <c r="Q357" i="33"/>
  <c r="Q356" i="33"/>
  <c r="Q355" i="33"/>
  <c r="Q354" i="33"/>
  <c r="Q353" i="33"/>
  <c r="Q352" i="33"/>
  <c r="Q351" i="33"/>
  <c r="Q350" i="33"/>
  <c r="Q349" i="33"/>
  <c r="Q348" i="33"/>
  <c r="Q347" i="33"/>
  <c r="Q346" i="33"/>
  <c r="Q345" i="33"/>
  <c r="Q344" i="33"/>
  <c r="Q343" i="33"/>
  <c r="Q342" i="33"/>
  <c r="Q341" i="33"/>
  <c r="Q340" i="33"/>
  <c r="Q339" i="33"/>
  <c r="Q338" i="33"/>
  <c r="Q337" i="33"/>
  <c r="Q336" i="33"/>
  <c r="Q335" i="33"/>
  <c r="Q334" i="33"/>
  <c r="Q333" i="33"/>
  <c r="Q332" i="33"/>
  <c r="Q331" i="33"/>
  <c r="Q330" i="33"/>
  <c r="Q329" i="33"/>
  <c r="Q328" i="33"/>
  <c r="Q327" i="33"/>
  <c r="Q326" i="33"/>
  <c r="Q325" i="33"/>
  <c r="Q324" i="33"/>
  <c r="Q323" i="33"/>
  <c r="Q322" i="33"/>
  <c r="Q321" i="33"/>
  <c r="Q320" i="33"/>
  <c r="Q319" i="33"/>
  <c r="Q318" i="33"/>
  <c r="Q317" i="33"/>
  <c r="Q316" i="33"/>
  <c r="Q315" i="33"/>
  <c r="Q314" i="33"/>
  <c r="Q313" i="33"/>
  <c r="Q312" i="33"/>
  <c r="Q311" i="33"/>
  <c r="Q310" i="33"/>
  <c r="Q309" i="33"/>
  <c r="Q308" i="33"/>
  <c r="Q307" i="33"/>
  <c r="Q306" i="33"/>
  <c r="Q305" i="33"/>
  <c r="Q304" i="33"/>
  <c r="Q303" i="33"/>
  <c r="Q302" i="33"/>
  <c r="Q301" i="33"/>
  <c r="Q300" i="33"/>
  <c r="Q299" i="33"/>
  <c r="Q298" i="33"/>
  <c r="Q297" i="33"/>
  <c r="Q296" i="33"/>
  <c r="Q295" i="33"/>
  <c r="Q294" i="33"/>
  <c r="Q293" i="33"/>
  <c r="Q292" i="33"/>
  <c r="Q291" i="33"/>
  <c r="Q290" i="33"/>
  <c r="Q289" i="33"/>
  <c r="Q288" i="33"/>
  <c r="Q287" i="33"/>
  <c r="Q286" i="33"/>
  <c r="Q285" i="33"/>
  <c r="Q284" i="33"/>
  <c r="Q283" i="33"/>
  <c r="Q282" i="33"/>
  <c r="Q281" i="33"/>
  <c r="Q280" i="33"/>
  <c r="Q279" i="33"/>
  <c r="Q278" i="33"/>
  <c r="Q277" i="33"/>
  <c r="Q276" i="33"/>
  <c r="Q275" i="33"/>
  <c r="Q274" i="33"/>
  <c r="Q273" i="33"/>
  <c r="Q272" i="33"/>
  <c r="Q271" i="33"/>
  <c r="Q270" i="33"/>
  <c r="Q269" i="33"/>
  <c r="Q268" i="33"/>
  <c r="Q267" i="33"/>
  <c r="Q266" i="33"/>
  <c r="Q265" i="33"/>
  <c r="Q264" i="33"/>
  <c r="Q263" i="33"/>
  <c r="Q262" i="33"/>
  <c r="Q261" i="33"/>
  <c r="Q260" i="33"/>
  <c r="Q259" i="33"/>
  <c r="Q258" i="33"/>
  <c r="Q257" i="33"/>
  <c r="Q256" i="33"/>
  <c r="Q255" i="33"/>
  <c r="Q254" i="33"/>
  <c r="Q253" i="33"/>
  <c r="Q252" i="33"/>
  <c r="Q251" i="33"/>
  <c r="Q250" i="33"/>
  <c r="Q249" i="33"/>
  <c r="Q248" i="33"/>
  <c r="Q247" i="33"/>
  <c r="Q246" i="33"/>
  <c r="Q245" i="33"/>
  <c r="Q244" i="33"/>
  <c r="Q243" i="33"/>
  <c r="Q242" i="33"/>
  <c r="Q241" i="33"/>
  <c r="Q240" i="33"/>
  <c r="Q239" i="33"/>
  <c r="Q238" i="33"/>
  <c r="Q237" i="33"/>
  <c r="Q236" i="33"/>
  <c r="Q235" i="33"/>
  <c r="Q234" i="33"/>
  <c r="Q233" i="33"/>
  <c r="Q232" i="33"/>
  <c r="Q231" i="33"/>
  <c r="Q230" i="33"/>
  <c r="Q229" i="33"/>
  <c r="Q228" i="33"/>
  <c r="Q227" i="33"/>
  <c r="Q226" i="33"/>
  <c r="Q225" i="33"/>
  <c r="Q224" i="33"/>
  <c r="Q223" i="33"/>
  <c r="Q222" i="33"/>
  <c r="Q221" i="33"/>
  <c r="Q220" i="33"/>
  <c r="Q219" i="33"/>
  <c r="Q218" i="33"/>
  <c r="Q217" i="33"/>
  <c r="Q216" i="33"/>
  <c r="Q215" i="33"/>
  <c r="Q214" i="33"/>
  <c r="Q213" i="33"/>
  <c r="Q212" i="33"/>
  <c r="Q211" i="33"/>
  <c r="Q210" i="33"/>
  <c r="Q209" i="33"/>
  <c r="Q208" i="33"/>
  <c r="Q207" i="33"/>
  <c r="Q206" i="33"/>
  <c r="Q205" i="33"/>
  <c r="Q204" i="33"/>
  <c r="Q203" i="33"/>
  <c r="Q202" i="33"/>
  <c r="Q201" i="33"/>
  <c r="Q200" i="33"/>
  <c r="Q199" i="33"/>
  <c r="Q198" i="33"/>
  <c r="Q197" i="33"/>
  <c r="Q196" i="33"/>
  <c r="Q195" i="33"/>
  <c r="Q194" i="33"/>
  <c r="Q193" i="33"/>
  <c r="Q192" i="33"/>
  <c r="Q191" i="33"/>
  <c r="Q190" i="33"/>
  <c r="Q189" i="33"/>
  <c r="Q188" i="33"/>
  <c r="Q187" i="33"/>
  <c r="Q186" i="33"/>
  <c r="Q185" i="33"/>
  <c r="Q184" i="33"/>
  <c r="Q183" i="33"/>
  <c r="Q182" i="33"/>
  <c r="Q181" i="33"/>
  <c r="Q180" i="33"/>
  <c r="Q179" i="33"/>
  <c r="Q178" i="33"/>
  <c r="Q177" i="33"/>
  <c r="Q176" i="33"/>
  <c r="Q175" i="33"/>
  <c r="Q174" i="33"/>
  <c r="Q173" i="33"/>
  <c r="Q172" i="33"/>
  <c r="Q171" i="33"/>
  <c r="Q170" i="33"/>
  <c r="Q169" i="33"/>
  <c r="Q168" i="33"/>
  <c r="Q167" i="33"/>
  <c r="Q166" i="33"/>
  <c r="Q165" i="33"/>
  <c r="Q164" i="33"/>
  <c r="Q163" i="33"/>
  <c r="Q162" i="33"/>
  <c r="Q161" i="33"/>
  <c r="Q160" i="33"/>
  <c r="Q159" i="33"/>
  <c r="Q158" i="33"/>
  <c r="Q157" i="33"/>
  <c r="Q156" i="33"/>
  <c r="Q155" i="33"/>
  <c r="Q154" i="33"/>
  <c r="Q153" i="33"/>
  <c r="Q152" i="33"/>
  <c r="Q151" i="33"/>
  <c r="Q150" i="33"/>
  <c r="Q149" i="33"/>
  <c r="Q148" i="33"/>
  <c r="Q147" i="33"/>
  <c r="Q146" i="33"/>
  <c r="Q145" i="33"/>
  <c r="Q144" i="33"/>
  <c r="Q143" i="33"/>
  <c r="Q142" i="33"/>
  <c r="Q141" i="33"/>
  <c r="Q140" i="33"/>
  <c r="Q139" i="33"/>
  <c r="Q138" i="33"/>
  <c r="Q137" i="33"/>
  <c r="Q136" i="33"/>
  <c r="Q135" i="33"/>
  <c r="Q134" i="33"/>
  <c r="Q133" i="33"/>
  <c r="Q132" i="33"/>
  <c r="Q131" i="33"/>
  <c r="Q130" i="33"/>
  <c r="Q129" i="33"/>
  <c r="Q128" i="33"/>
  <c r="Q127" i="33"/>
  <c r="Q126" i="33"/>
  <c r="Q125" i="33"/>
  <c r="Q124" i="33"/>
  <c r="Q123" i="33"/>
  <c r="Q122" i="33"/>
  <c r="Q121" i="33"/>
  <c r="Q120" i="33"/>
  <c r="Q119" i="33"/>
  <c r="Q118" i="33"/>
  <c r="Q117" i="33"/>
  <c r="Q116" i="33"/>
  <c r="Q115" i="33"/>
  <c r="Q114" i="33"/>
  <c r="Q113" i="33"/>
  <c r="Q112" i="33"/>
  <c r="Q111" i="33"/>
  <c r="Q110" i="33"/>
  <c r="Q109" i="33"/>
  <c r="Q108" i="33"/>
  <c r="Q107" i="33"/>
  <c r="Q106" i="33"/>
  <c r="Q105" i="33"/>
  <c r="Q104" i="33"/>
  <c r="Q103" i="33"/>
  <c r="Q102" i="33"/>
  <c r="Q101" i="33"/>
  <c r="Q100" i="33"/>
  <c r="Q99" i="33"/>
  <c r="Q98" i="33"/>
  <c r="Q97" i="33"/>
  <c r="Q96" i="33"/>
  <c r="Q95" i="33"/>
  <c r="Q94" i="33"/>
  <c r="Q93" i="33"/>
  <c r="Q92" i="33"/>
  <c r="Q91" i="33"/>
  <c r="Q90" i="33"/>
  <c r="Q89" i="33"/>
  <c r="Q88" i="33"/>
  <c r="Q87" i="33"/>
  <c r="Q86" i="33"/>
  <c r="Q85" i="33"/>
  <c r="Q84" i="33"/>
  <c r="Q83" i="33"/>
  <c r="Q82" i="33"/>
  <c r="Q81" i="33"/>
  <c r="Q80" i="33"/>
  <c r="Q79" i="33"/>
  <c r="Q78" i="33"/>
  <c r="Q77" i="33"/>
  <c r="Q76" i="33"/>
  <c r="Q75" i="33"/>
  <c r="Q74" i="33"/>
  <c r="Q73" i="33"/>
  <c r="Q72" i="33"/>
  <c r="Q71" i="33"/>
  <c r="Q70" i="33"/>
  <c r="Q69" i="33"/>
  <c r="Q68" i="33"/>
  <c r="Q67" i="33"/>
  <c r="Q66" i="33"/>
  <c r="Q65" i="33"/>
  <c r="Q64" i="33"/>
  <c r="Q63" i="33"/>
  <c r="Q62" i="33"/>
  <c r="Q61" i="33"/>
  <c r="Q60" i="33"/>
  <c r="Q59" i="33"/>
  <c r="Q58" i="33"/>
  <c r="Q57" i="33"/>
  <c r="Q56" i="33"/>
  <c r="Q55" i="33"/>
  <c r="Q54" i="33"/>
  <c r="Q53" i="33"/>
  <c r="Q52" i="33"/>
  <c r="Q51" i="33"/>
  <c r="Q50" i="33"/>
  <c r="Q49" i="33"/>
  <c r="Q48" i="33"/>
  <c r="Q47" i="33"/>
  <c r="Q46" i="33"/>
  <c r="Q45" i="33"/>
  <c r="Q44" i="33"/>
  <c r="Q43" i="33"/>
  <c r="Q42" i="33"/>
  <c r="Q41" i="33"/>
  <c r="Q40" i="33"/>
  <c r="Q39" i="33"/>
  <c r="Q38" i="33"/>
  <c r="Q37" i="33"/>
  <c r="Q36" i="33"/>
  <c r="Q35" i="33"/>
  <c r="Q34" i="33"/>
  <c r="Q33" i="33"/>
  <c r="Q32" i="33"/>
  <c r="Q31" i="33"/>
  <c r="Q30" i="33"/>
  <c r="Q29" i="33"/>
  <c r="Q28" i="33"/>
  <c r="Q27" i="33"/>
  <c r="Q26" i="33"/>
  <c r="Q25" i="33"/>
  <c r="Q24" i="33"/>
  <c r="Q23" i="33"/>
  <c r="Q22" i="33"/>
  <c r="Q21" i="33"/>
  <c r="Q20" i="33"/>
  <c r="Q19" i="33"/>
  <c r="Q18" i="33"/>
  <c r="Q17" i="33"/>
  <c r="Q16" i="33"/>
  <c r="Q15" i="33"/>
  <c r="Q14" i="33"/>
  <c r="Q13" i="33"/>
  <c r="Q12" i="33"/>
  <c r="Q11" i="33"/>
  <c r="Q10" i="33"/>
  <c r="Q9" i="33"/>
  <c r="Q8" i="33"/>
  <c r="Q7" i="33"/>
  <c r="Q6" i="33"/>
  <c r="Q5" i="33"/>
  <c r="Q4" i="33"/>
  <c r="Q3" i="33"/>
  <c r="A3" i="33"/>
  <c r="A4" i="33"/>
  <c r="A5" i="33"/>
  <c r="A6" i="33"/>
  <c r="A7" i="33"/>
  <c r="A8" i="33"/>
  <c r="A9" i="33"/>
  <c r="A10" i="33"/>
  <c r="A11" i="33"/>
  <c r="A12" i="33"/>
  <c r="A13" i="33"/>
  <c r="A14" i="33"/>
  <c r="A15" i="33"/>
  <c r="A16" i="33"/>
  <c r="A17" i="33"/>
  <c r="A18" i="33"/>
  <c r="A19" i="33"/>
  <c r="A20" i="33"/>
  <c r="A21" i="33"/>
  <c r="A22" i="33"/>
  <c r="A23" i="33"/>
  <c r="A24" i="33"/>
  <c r="A25" i="33"/>
  <c r="A26" i="33"/>
  <c r="A27" i="33"/>
  <c r="A28" i="33"/>
  <c r="A29" i="33"/>
  <c r="A30" i="33"/>
  <c r="A31" i="33"/>
  <c r="A32" i="33"/>
  <c r="A33" i="33"/>
  <c r="A34" i="33"/>
  <c r="A35" i="33"/>
  <c r="A36" i="33"/>
  <c r="A37" i="33"/>
  <c r="A38" i="33"/>
  <c r="A39" i="33"/>
  <c r="A40" i="33"/>
  <c r="A41" i="33"/>
  <c r="A42" i="33"/>
  <c r="A43" i="33"/>
  <c r="A44" i="33"/>
  <c r="A45" i="33"/>
  <c r="A46" i="33"/>
  <c r="A47" i="33"/>
  <c r="A48" i="33"/>
  <c r="A49" i="33"/>
  <c r="A50" i="33"/>
  <c r="A51" i="33"/>
  <c r="A52" i="33"/>
  <c r="A53" i="33"/>
  <c r="A54" i="33"/>
  <c r="A55" i="33"/>
  <c r="A56" i="33"/>
  <c r="A57" i="33"/>
  <c r="A58" i="33"/>
  <c r="A59" i="33"/>
  <c r="A60" i="33"/>
  <c r="A61" i="33"/>
  <c r="A62" i="33"/>
  <c r="A63" i="33"/>
  <c r="A64" i="33"/>
  <c r="A65" i="33"/>
  <c r="A66" i="33"/>
  <c r="A67" i="33"/>
  <c r="A68" i="33"/>
  <c r="A69" i="33"/>
  <c r="A70" i="33"/>
  <c r="A71" i="33"/>
  <c r="A72" i="33"/>
  <c r="A73" i="33"/>
  <c r="A74" i="33"/>
  <c r="A75" i="33"/>
  <c r="A76" i="33"/>
  <c r="A77" i="33"/>
  <c r="A78" i="33"/>
  <c r="A79" i="33"/>
  <c r="A80" i="33"/>
  <c r="A81" i="33"/>
  <c r="A82" i="33"/>
  <c r="A83" i="33"/>
  <c r="A84" i="33"/>
  <c r="A85" i="33"/>
  <c r="A86" i="33"/>
  <c r="A87" i="33"/>
  <c r="A88" i="33"/>
  <c r="A89" i="33"/>
  <c r="A90" i="33"/>
  <c r="A91" i="33"/>
  <c r="A92" i="33"/>
  <c r="A93" i="33"/>
  <c r="A94" i="33"/>
  <c r="A95" i="33"/>
  <c r="A96" i="33"/>
  <c r="A97" i="33"/>
  <c r="A98" i="33"/>
  <c r="A99" i="33"/>
  <c r="A100" i="33"/>
  <c r="A101" i="33"/>
  <c r="A102" i="33"/>
  <c r="A103" i="33"/>
  <c r="A104" i="33"/>
  <c r="A105" i="33"/>
  <c r="A106" i="33"/>
  <c r="A107" i="33"/>
  <c r="A108" i="33"/>
  <c r="A109" i="33"/>
  <c r="A110" i="33"/>
  <c r="A111" i="33"/>
  <c r="A112" i="33"/>
  <c r="A113" i="33"/>
  <c r="A114" i="33"/>
  <c r="A115" i="33"/>
  <c r="A116" i="33"/>
  <c r="A117" i="33"/>
  <c r="A118" i="33"/>
  <c r="A119" i="33"/>
  <c r="A120" i="33"/>
  <c r="A121" i="33"/>
  <c r="A122" i="33"/>
  <c r="A123" i="33"/>
  <c r="A124" i="33"/>
  <c r="A125" i="33"/>
  <c r="A126" i="33"/>
  <c r="A127" i="33"/>
  <c r="A128" i="33"/>
  <c r="A129" i="33"/>
  <c r="A130" i="33"/>
  <c r="A131" i="33"/>
  <c r="A132" i="33"/>
  <c r="A133" i="33"/>
  <c r="A134" i="33"/>
  <c r="A135" i="33"/>
  <c r="A136" i="33"/>
  <c r="A137" i="33"/>
  <c r="A138" i="33"/>
  <c r="A139" i="33"/>
  <c r="A140" i="33"/>
  <c r="A141" i="33"/>
  <c r="A142" i="33"/>
  <c r="A143" i="33"/>
  <c r="A144" i="33"/>
  <c r="A145" i="33"/>
  <c r="A146" i="33"/>
  <c r="A147" i="33"/>
  <c r="A148" i="33"/>
  <c r="A149" i="33"/>
  <c r="A150" i="33"/>
  <c r="A151" i="33"/>
  <c r="A152" i="33"/>
  <c r="A153" i="33"/>
  <c r="A154" i="33"/>
  <c r="A155" i="33"/>
  <c r="A156" i="33"/>
  <c r="A157" i="33"/>
  <c r="A158" i="33"/>
  <c r="A159" i="33"/>
  <c r="A160" i="33"/>
  <c r="A161" i="33"/>
  <c r="A162" i="33"/>
  <c r="A163" i="33"/>
  <c r="A164" i="33"/>
  <c r="A165" i="33"/>
  <c r="A166" i="33"/>
  <c r="A167" i="33"/>
  <c r="A168" i="33"/>
  <c r="A169" i="33"/>
  <c r="A170" i="33"/>
  <c r="A171" i="33"/>
  <c r="A172" i="33"/>
  <c r="A173" i="33"/>
  <c r="A174" i="33"/>
  <c r="A175" i="33"/>
  <c r="A176" i="33"/>
  <c r="A177" i="33"/>
  <c r="A178" i="33"/>
  <c r="A179" i="33"/>
  <c r="A180" i="33"/>
  <c r="A181" i="33"/>
  <c r="A182" i="33"/>
  <c r="A183" i="33"/>
  <c r="A184" i="33"/>
  <c r="A185" i="33"/>
  <c r="A186" i="33"/>
  <c r="A187" i="33"/>
  <c r="A188" i="33"/>
  <c r="A189" i="33"/>
  <c r="A190" i="33"/>
  <c r="A191" i="33"/>
  <c r="A192" i="33"/>
  <c r="A193" i="33"/>
  <c r="A194" i="33"/>
  <c r="A195" i="33"/>
  <c r="A196" i="33"/>
  <c r="A197" i="33"/>
  <c r="A198" i="33"/>
  <c r="A199" i="33"/>
  <c r="A200" i="33"/>
  <c r="A201" i="33"/>
  <c r="A202" i="33"/>
  <c r="A203" i="33"/>
  <c r="A204" i="33"/>
  <c r="A205" i="33"/>
  <c r="A206" i="33"/>
  <c r="A207" i="33"/>
  <c r="A208" i="33"/>
  <c r="A209" i="33"/>
  <c r="A210" i="33"/>
  <c r="A211" i="33"/>
  <c r="A212" i="33"/>
  <c r="A213" i="33"/>
  <c r="A214" i="33"/>
  <c r="A215" i="33"/>
  <c r="A216" i="33"/>
  <c r="A217" i="33"/>
  <c r="A218" i="33"/>
  <c r="A219" i="33"/>
  <c r="A220" i="33"/>
  <c r="A221" i="33"/>
  <c r="A222" i="33"/>
  <c r="A223" i="33"/>
  <c r="A224" i="33"/>
  <c r="A225" i="33"/>
  <c r="A226" i="33"/>
  <c r="A227" i="33"/>
  <c r="A228" i="33"/>
  <c r="A229" i="33"/>
  <c r="A230" i="33"/>
  <c r="A231" i="33"/>
  <c r="A232" i="33"/>
  <c r="A233" i="33"/>
  <c r="A234" i="33"/>
  <c r="A235" i="33"/>
  <c r="A236" i="33"/>
  <c r="A237" i="33"/>
  <c r="A238" i="33"/>
  <c r="A239" i="33"/>
  <c r="A240" i="33"/>
  <c r="A241" i="33"/>
  <c r="A242" i="33"/>
  <c r="A243" i="33"/>
  <c r="A244" i="33"/>
  <c r="A245" i="33"/>
  <c r="A246" i="33"/>
  <c r="A247" i="33"/>
  <c r="A248" i="33"/>
  <c r="A249" i="33"/>
  <c r="A250" i="33"/>
  <c r="A251" i="33"/>
  <c r="A252" i="33"/>
  <c r="A253" i="33"/>
  <c r="A254" i="33"/>
  <c r="A255" i="33"/>
  <c r="A256" i="33"/>
  <c r="A257" i="33"/>
  <c r="A258" i="33"/>
  <c r="A259" i="33"/>
  <c r="A260" i="33"/>
  <c r="A261" i="33"/>
  <c r="A262" i="33"/>
  <c r="A263" i="33"/>
  <c r="A264" i="33"/>
  <c r="A265" i="33"/>
  <c r="A266" i="33"/>
  <c r="A267" i="33"/>
  <c r="A268" i="33"/>
  <c r="A269" i="33"/>
  <c r="A270" i="33"/>
  <c r="A271" i="33"/>
  <c r="A272" i="33"/>
  <c r="A273" i="33"/>
  <c r="A274" i="33"/>
  <c r="A275" i="33"/>
  <c r="A276" i="33"/>
  <c r="A277" i="33"/>
  <c r="A278" i="33"/>
  <c r="A279" i="33"/>
  <c r="A280" i="33"/>
  <c r="A281" i="33"/>
  <c r="A282" i="33"/>
  <c r="A283" i="33"/>
  <c r="A284" i="33"/>
  <c r="A285" i="33"/>
  <c r="A286" i="33"/>
  <c r="A287" i="33"/>
  <c r="A288" i="33"/>
  <c r="A289" i="33"/>
  <c r="A290" i="33"/>
  <c r="A291" i="33"/>
  <c r="A292" i="33"/>
  <c r="A293" i="33"/>
  <c r="A294" i="33"/>
  <c r="A295" i="33"/>
  <c r="A296" i="33"/>
  <c r="A297" i="33"/>
  <c r="A298" i="33"/>
  <c r="A299" i="33"/>
  <c r="A300" i="33"/>
  <c r="A301" i="33"/>
  <c r="A302" i="33"/>
  <c r="A303" i="33"/>
  <c r="A304" i="33"/>
  <c r="A305" i="33"/>
  <c r="A306" i="33"/>
  <c r="A307" i="33"/>
  <c r="A308" i="33"/>
  <c r="A309" i="33"/>
  <c r="A310" i="33"/>
  <c r="A311" i="33"/>
  <c r="A312" i="33"/>
  <c r="A313" i="33"/>
  <c r="A314" i="33"/>
  <c r="A315" i="33"/>
  <c r="A316" i="33"/>
  <c r="A317" i="33"/>
  <c r="A318" i="33"/>
  <c r="A319" i="33"/>
  <c r="A320" i="33"/>
  <c r="A321" i="33"/>
  <c r="A322" i="33"/>
  <c r="A323" i="33"/>
  <c r="A324" i="33"/>
  <c r="A325" i="33"/>
  <c r="A326" i="33"/>
  <c r="A327" i="33"/>
  <c r="A328" i="33"/>
  <c r="A329" i="33"/>
  <c r="A330" i="33"/>
  <c r="A331" i="33"/>
  <c r="A332" i="33"/>
  <c r="A333" i="33"/>
  <c r="A334" i="33"/>
  <c r="A335" i="33"/>
  <c r="A336" i="33"/>
  <c r="A337" i="33"/>
  <c r="A338" i="33"/>
  <c r="A339" i="33"/>
  <c r="A340" i="33"/>
  <c r="A341" i="33"/>
  <c r="A342" i="33"/>
  <c r="A343" i="33"/>
  <c r="A344" i="33"/>
  <c r="A345" i="33"/>
  <c r="A346" i="33"/>
  <c r="A347" i="33"/>
  <c r="A348" i="33"/>
  <c r="A349" i="33"/>
  <c r="A350" i="33"/>
  <c r="A351" i="33"/>
  <c r="A352" i="33"/>
  <c r="A353" i="33"/>
  <c r="A354" i="33"/>
  <c r="A355" i="33"/>
  <c r="A356" i="33"/>
  <c r="A357" i="33"/>
  <c r="A358" i="33"/>
  <c r="A359" i="33"/>
  <c r="A360" i="33"/>
  <c r="A361" i="33"/>
  <c r="A362" i="33"/>
  <c r="A363" i="33"/>
  <c r="A364" i="33"/>
  <c r="A365" i="33"/>
  <c r="A366" i="33"/>
  <c r="A367" i="33"/>
  <c r="A368" i="33"/>
  <c r="A369" i="33"/>
  <c r="A370" i="33"/>
  <c r="A371" i="33"/>
  <c r="A372" i="33"/>
  <c r="A373" i="33"/>
  <c r="A374" i="33"/>
  <c r="A375" i="33"/>
  <c r="A376" i="33"/>
  <c r="A377" i="33"/>
  <c r="A378" i="33"/>
  <c r="A379" i="33"/>
  <c r="A380" i="33"/>
  <c r="A381" i="33"/>
  <c r="A382" i="33"/>
  <c r="A383" i="33"/>
  <c r="A384" i="33"/>
  <c r="A385" i="33"/>
  <c r="A386" i="33"/>
  <c r="A387" i="33"/>
  <c r="A388" i="33"/>
  <c r="A389" i="33"/>
  <c r="A390" i="33"/>
  <c r="A391" i="33"/>
  <c r="A392" i="33"/>
  <c r="A393" i="33"/>
  <c r="A394" i="33"/>
  <c r="A395" i="33"/>
  <c r="A396" i="33"/>
  <c r="A397" i="33"/>
  <c r="A398" i="33"/>
  <c r="A399" i="33"/>
  <c r="A400" i="33"/>
  <c r="A401" i="33"/>
  <c r="A402" i="33"/>
  <c r="A403" i="33"/>
  <c r="A404" i="33"/>
  <c r="A405" i="33"/>
  <c r="A406" i="33"/>
  <c r="A407" i="33"/>
  <c r="A408" i="33"/>
  <c r="A409" i="33"/>
  <c r="A410" i="33"/>
  <c r="A411" i="33"/>
  <c r="A412" i="33"/>
  <c r="A413" i="33"/>
  <c r="A414" i="33"/>
  <c r="A415" i="33"/>
  <c r="A416" i="33"/>
  <c r="A417" i="33"/>
  <c r="A418" i="33"/>
  <c r="A419" i="33"/>
  <c r="A420" i="33"/>
  <c r="A421" i="33"/>
  <c r="A422" i="33"/>
  <c r="A423" i="33"/>
  <c r="A424" i="33"/>
  <c r="A425" i="33"/>
  <c r="A426" i="33"/>
  <c r="A427" i="33"/>
  <c r="A428" i="33"/>
  <c r="A429" i="33"/>
  <c r="A430" i="33"/>
  <c r="A431" i="33"/>
  <c r="A432" i="33"/>
  <c r="A433" i="33"/>
  <c r="A434" i="33"/>
  <c r="A435" i="33"/>
  <c r="A436" i="33"/>
  <c r="A437" i="33"/>
  <c r="A438" i="33"/>
  <c r="A439" i="33"/>
  <c r="A440" i="33"/>
  <c r="A441" i="33"/>
  <c r="A442" i="33"/>
  <c r="A443" i="33"/>
  <c r="A444" i="33"/>
  <c r="A445" i="33"/>
  <c r="A446" i="33"/>
  <c r="A447" i="33"/>
  <c r="A448" i="33"/>
  <c r="A449" i="33"/>
  <c r="A450" i="33"/>
  <c r="A451" i="33"/>
  <c r="A452" i="33"/>
  <c r="A453" i="33"/>
  <c r="A454" i="33"/>
  <c r="A455" i="33"/>
  <c r="A456" i="33"/>
  <c r="A457" i="33"/>
  <c r="A458" i="33"/>
  <c r="A459" i="33"/>
  <c r="A460" i="33"/>
  <c r="A461" i="33"/>
  <c r="A462" i="33"/>
  <c r="A463" i="33"/>
  <c r="A464" i="33"/>
  <c r="A465" i="33"/>
  <c r="A466" i="33"/>
  <c r="A467" i="33"/>
  <c r="A468" i="33"/>
  <c r="A469" i="33"/>
  <c r="A470" i="33"/>
  <c r="A471" i="33"/>
  <c r="A472" i="33"/>
  <c r="A473" i="33"/>
  <c r="A474" i="33"/>
  <c r="A475" i="33"/>
  <c r="A476" i="33"/>
  <c r="A477" i="33"/>
  <c r="A478" i="33"/>
  <c r="A479" i="33"/>
  <c r="A480" i="33"/>
  <c r="A481" i="33"/>
  <c r="A482" i="33"/>
  <c r="A483" i="33"/>
  <c r="A484" i="33"/>
  <c r="A485" i="33"/>
  <c r="A486" i="33"/>
  <c r="A487" i="33"/>
  <c r="A488" i="33"/>
  <c r="A489" i="33"/>
  <c r="A490" i="33"/>
  <c r="A491" i="33"/>
  <c r="A492" i="33"/>
  <c r="A493" i="33"/>
  <c r="A494" i="33"/>
  <c r="A495" i="33"/>
  <c r="A496" i="33"/>
  <c r="A497" i="33"/>
  <c r="A498" i="33"/>
  <c r="A499" i="33"/>
  <c r="A500" i="33"/>
  <c r="A501" i="33"/>
  <c r="A502" i="33"/>
  <c r="A503" i="33"/>
  <c r="A504" i="33"/>
  <c r="A505" i="33"/>
  <c r="A506" i="33"/>
  <c r="A507" i="33"/>
  <c r="A508" i="33"/>
  <c r="A509" i="33"/>
  <c r="A510" i="33"/>
  <c r="A511" i="33"/>
  <c r="A512" i="33"/>
  <c r="A513" i="33"/>
  <c r="A514" i="33"/>
  <c r="A515" i="33"/>
  <c r="A516" i="33"/>
  <c r="A517" i="33"/>
  <c r="A518" i="33"/>
  <c r="A519" i="33"/>
  <c r="A520" i="33"/>
  <c r="A521" i="33"/>
  <c r="A522" i="33"/>
  <c r="A523" i="33"/>
  <c r="A524" i="33"/>
  <c r="A525" i="33"/>
  <c r="A526" i="33"/>
  <c r="A527" i="33"/>
  <c r="A528" i="33"/>
  <c r="A529" i="33"/>
  <c r="A530" i="33"/>
  <c r="A531" i="33"/>
  <c r="A532" i="33"/>
  <c r="A533" i="33"/>
  <c r="A534" i="33"/>
  <c r="A535" i="33"/>
  <c r="A536" i="33"/>
  <c r="A537" i="33"/>
  <c r="A538" i="33"/>
  <c r="A539" i="33"/>
  <c r="A540" i="33"/>
  <c r="A541" i="33"/>
  <c r="A542" i="33"/>
  <c r="A543" i="33"/>
  <c r="A544" i="33"/>
  <c r="A545" i="33"/>
  <c r="A546" i="33"/>
  <c r="A547" i="33"/>
  <c r="A548" i="33"/>
  <c r="A549" i="33"/>
  <c r="A550" i="33"/>
  <c r="A551" i="33"/>
  <c r="A552" i="33"/>
  <c r="A553" i="33"/>
  <c r="A554" i="33"/>
  <c r="A555" i="33"/>
  <c r="A556" i="33"/>
  <c r="A557" i="33"/>
  <c r="A558" i="33"/>
  <c r="A559" i="33"/>
  <c r="A560" i="33"/>
  <c r="A561" i="33"/>
  <c r="A562" i="33"/>
  <c r="A563" i="33"/>
  <c r="A564" i="33"/>
  <c r="A565" i="33"/>
  <c r="A566" i="33"/>
  <c r="A567" i="33"/>
  <c r="A568" i="33"/>
  <c r="A569" i="33"/>
  <c r="A570" i="33"/>
  <c r="A571" i="33"/>
  <c r="A572" i="33"/>
  <c r="A573" i="33"/>
  <c r="A574" i="33"/>
  <c r="A575" i="33"/>
  <c r="A576" i="33"/>
  <c r="A577" i="33"/>
  <c r="A578" i="33"/>
  <c r="A579" i="33"/>
  <c r="A580" i="33"/>
  <c r="A581" i="33"/>
  <c r="A582" i="33"/>
  <c r="A583" i="33"/>
  <c r="A584" i="33"/>
  <c r="A585" i="33"/>
  <c r="A586" i="33"/>
  <c r="A587" i="33"/>
  <c r="A588" i="33"/>
  <c r="A589" i="33"/>
  <c r="A590" i="33"/>
  <c r="A591" i="33"/>
  <c r="A592" i="33"/>
  <c r="A593" i="33"/>
  <c r="A594" i="33"/>
  <c r="A595" i="33"/>
  <c r="A596" i="33"/>
  <c r="A597" i="33"/>
  <c r="A598" i="33"/>
  <c r="A599" i="33"/>
  <c r="A600" i="33"/>
  <c r="A601" i="33"/>
  <c r="A602" i="33"/>
  <c r="A603" i="33"/>
  <c r="A604" i="33"/>
  <c r="A605" i="33"/>
  <c r="A606" i="33"/>
  <c r="A607" i="33"/>
  <c r="A608" i="33"/>
  <c r="A609" i="33"/>
  <c r="A610" i="33"/>
  <c r="A611" i="33"/>
  <c r="A612" i="33"/>
  <c r="A613" i="33"/>
  <c r="A614" i="33"/>
  <c r="A615" i="33"/>
  <c r="A616" i="33"/>
  <c r="A617" i="33"/>
  <c r="A618" i="33"/>
  <c r="A619" i="33"/>
  <c r="A620" i="33"/>
  <c r="A621" i="33"/>
  <c r="A622" i="33"/>
  <c r="A623" i="33"/>
  <c r="A624" i="33"/>
  <c r="A625" i="33"/>
  <c r="A626" i="33"/>
  <c r="A627" i="33"/>
  <c r="A628" i="33"/>
  <c r="A629" i="33"/>
  <c r="A630" i="33"/>
  <c r="A631" i="33"/>
  <c r="A632" i="33"/>
  <c r="A633" i="33"/>
  <c r="A634" i="33"/>
  <c r="A635" i="33"/>
  <c r="A636" i="33"/>
  <c r="A637" i="33"/>
  <c r="A638" i="33"/>
  <c r="A639" i="33"/>
  <c r="A640" i="33"/>
  <c r="A641" i="33"/>
  <c r="A642" i="33"/>
  <c r="A643" i="33"/>
  <c r="A644" i="33"/>
  <c r="A645" i="33"/>
  <c r="A646" i="33"/>
  <c r="A647" i="33"/>
  <c r="A648" i="33"/>
  <c r="A649" i="33"/>
  <c r="A650" i="33"/>
  <c r="A651" i="33"/>
  <c r="A652" i="33"/>
  <c r="A653" i="33"/>
  <c r="A654" i="33"/>
  <c r="A655" i="33"/>
  <c r="A656" i="33"/>
  <c r="A657" i="33"/>
  <c r="A658" i="33"/>
  <c r="A659" i="33"/>
  <c r="A660" i="33"/>
  <c r="A661" i="33"/>
  <c r="A662" i="33"/>
  <c r="A663" i="33"/>
  <c r="A664" i="33"/>
  <c r="A665" i="33"/>
  <c r="A666" i="33"/>
  <c r="A667" i="33"/>
  <c r="A668" i="33"/>
  <c r="A669" i="33"/>
  <c r="A670" i="33"/>
  <c r="A671" i="33"/>
  <c r="A672" i="33"/>
  <c r="A673" i="33"/>
  <c r="A674" i="33"/>
  <c r="A675" i="33"/>
  <c r="A676" i="33"/>
  <c r="A677" i="33"/>
  <c r="A678" i="33"/>
  <c r="A679" i="33"/>
  <c r="A680" i="33"/>
  <c r="A681" i="33"/>
  <c r="A682" i="33"/>
  <c r="A683" i="33"/>
  <c r="A684" i="33"/>
  <c r="A685" i="33"/>
  <c r="A686" i="33"/>
  <c r="A687" i="33"/>
  <c r="A688" i="33"/>
  <c r="A689" i="33"/>
  <c r="A690" i="33"/>
  <c r="A691" i="33"/>
  <c r="A692" i="33"/>
  <c r="A693" i="33"/>
  <c r="A694" i="33"/>
  <c r="A695" i="33"/>
  <c r="A696" i="33"/>
  <c r="A697" i="33"/>
  <c r="A698" i="33"/>
  <c r="A699" i="33"/>
  <c r="A700" i="33"/>
  <c r="A701" i="33"/>
  <c r="A702" i="33"/>
  <c r="A703" i="33"/>
  <c r="A704" i="33"/>
  <c r="A705" i="33"/>
  <c r="A706" i="33"/>
  <c r="A707" i="33"/>
  <c r="A708" i="33"/>
  <c r="A709" i="33"/>
  <c r="A710" i="33"/>
  <c r="A711" i="33"/>
  <c r="A712" i="33"/>
  <c r="A713" i="33"/>
  <c r="A714" i="33"/>
  <c r="A715" i="33"/>
  <c r="A716" i="33"/>
  <c r="A717" i="33"/>
  <c r="A718" i="33"/>
  <c r="A719" i="33"/>
  <c r="A720" i="33"/>
  <c r="A721" i="33"/>
  <c r="A722" i="33"/>
  <c r="A723" i="33"/>
  <c r="A724" i="33"/>
  <c r="A725" i="33"/>
  <c r="A726" i="33"/>
  <c r="A727" i="33"/>
  <c r="A728" i="33"/>
  <c r="A729" i="33"/>
  <c r="A730" i="33"/>
  <c r="A731" i="33"/>
  <c r="A732" i="33"/>
  <c r="A733" i="33"/>
  <c r="A734" i="33"/>
  <c r="A735" i="33"/>
  <c r="A736" i="33"/>
  <c r="A737" i="33"/>
  <c r="A738" i="33"/>
  <c r="A739" i="33"/>
  <c r="A740" i="33"/>
  <c r="A741" i="33"/>
  <c r="A742" i="33"/>
  <c r="A743" i="33"/>
  <c r="A744" i="33"/>
  <c r="A745" i="33"/>
  <c r="A746" i="33"/>
  <c r="A747" i="33"/>
  <c r="A748" i="33"/>
  <c r="A749" i="33"/>
  <c r="A750" i="33"/>
  <c r="A751" i="33"/>
  <c r="A752" i="33"/>
  <c r="A753" i="33"/>
  <c r="A754" i="33"/>
  <c r="A755" i="33"/>
  <c r="A756" i="33"/>
  <c r="A757" i="33"/>
  <c r="A758" i="33"/>
  <c r="A759" i="33"/>
  <c r="A760" i="33"/>
  <c r="A761" i="33"/>
  <c r="A762" i="33"/>
  <c r="A763" i="33"/>
  <c r="A764" i="33"/>
  <c r="A765" i="33"/>
  <c r="A766" i="33"/>
  <c r="A767" i="33"/>
  <c r="A768" i="33"/>
  <c r="A769" i="33"/>
  <c r="A770" i="33"/>
  <c r="A771" i="33"/>
  <c r="A772" i="33"/>
  <c r="A773" i="33"/>
  <c r="A774" i="33"/>
  <c r="A775" i="33"/>
  <c r="A776" i="33"/>
  <c r="A777" i="33"/>
  <c r="A778" i="33"/>
  <c r="A779" i="33"/>
  <c r="A780" i="33"/>
  <c r="A781" i="33"/>
  <c r="A782" i="33"/>
  <c r="A783" i="33"/>
  <c r="A784" i="33"/>
  <c r="A785" i="33"/>
  <c r="A786" i="33"/>
  <c r="A787" i="33"/>
  <c r="A788" i="33"/>
  <c r="A789" i="33"/>
  <c r="A790" i="33"/>
  <c r="A791" i="33"/>
  <c r="A792" i="33"/>
  <c r="A793" i="33"/>
  <c r="A794" i="33"/>
  <c r="A795" i="33"/>
  <c r="A796" i="33"/>
  <c r="A797" i="33"/>
  <c r="A798" i="33"/>
  <c r="A799" i="33"/>
  <c r="A800" i="33"/>
  <c r="A801" i="33"/>
  <c r="A802" i="33"/>
  <c r="A803" i="33"/>
  <c r="A804" i="33"/>
  <c r="A805" i="33"/>
  <c r="A806" i="33"/>
  <c r="A807" i="33"/>
  <c r="A808" i="33"/>
  <c r="A809" i="33"/>
  <c r="A810" i="33"/>
  <c r="A811" i="33"/>
  <c r="A812" i="33"/>
  <c r="A813" i="33"/>
  <c r="A814" i="33"/>
  <c r="A815" i="33"/>
  <c r="A816" i="33"/>
  <c r="A817" i="33"/>
  <c r="A818" i="33"/>
  <c r="A819" i="33"/>
  <c r="A820" i="33"/>
  <c r="A821" i="33"/>
  <c r="A822" i="33"/>
  <c r="A823" i="33"/>
  <c r="A824" i="33"/>
  <c r="A825" i="33"/>
  <c r="A826" i="33"/>
  <c r="A827" i="33"/>
  <c r="A828" i="33"/>
  <c r="A829" i="33"/>
  <c r="A830" i="33"/>
  <c r="A831" i="33"/>
  <c r="A832" i="33"/>
  <c r="A833" i="33"/>
  <c r="A834" i="33"/>
  <c r="A835" i="33"/>
  <c r="A836" i="33"/>
  <c r="A837" i="33"/>
  <c r="A838" i="33"/>
  <c r="A839" i="33"/>
  <c r="A840" i="33"/>
  <c r="A841" i="33"/>
  <c r="A842" i="33"/>
  <c r="A843" i="33"/>
  <c r="A844" i="33"/>
  <c r="A845" i="33"/>
  <c r="A846" i="33"/>
  <c r="A847" i="33"/>
  <c r="A848" i="33"/>
  <c r="A849" i="33"/>
  <c r="A850" i="33"/>
  <c r="A851" i="33"/>
  <c r="A852" i="33"/>
  <c r="A853" i="33"/>
  <c r="A854" i="33"/>
  <c r="A855" i="33"/>
  <c r="A856" i="33"/>
  <c r="A857" i="33"/>
  <c r="A858" i="33"/>
  <c r="A859" i="33"/>
  <c r="A860" i="33"/>
  <c r="A861" i="33"/>
  <c r="A862" i="33"/>
  <c r="A863" i="33"/>
  <c r="A864" i="33"/>
  <c r="A865" i="33"/>
  <c r="A866" i="33"/>
  <c r="A867" i="33"/>
  <c r="A868" i="33"/>
  <c r="A869" i="33"/>
  <c r="A870" i="33"/>
  <c r="A871" i="33"/>
  <c r="A872" i="33"/>
  <c r="A873" i="33"/>
  <c r="A874" i="33"/>
  <c r="A875" i="33"/>
  <c r="A876" i="33"/>
  <c r="A877" i="33"/>
  <c r="A878" i="33"/>
  <c r="A879" i="33"/>
  <c r="A880" i="33"/>
  <c r="A881" i="33"/>
  <c r="A882" i="33"/>
  <c r="A883" i="33"/>
  <c r="A884" i="33"/>
  <c r="A885" i="33"/>
  <c r="A886" i="33"/>
  <c r="A887" i="33"/>
  <c r="A888" i="33"/>
  <c r="A889" i="33"/>
  <c r="A890" i="33"/>
  <c r="A891" i="33"/>
  <c r="A892" i="33"/>
  <c r="A893" i="33"/>
  <c r="A894" i="33"/>
  <c r="A895" i="33"/>
  <c r="A896" i="33"/>
  <c r="A897" i="33"/>
  <c r="A898" i="33"/>
  <c r="A899" i="33"/>
  <c r="A900" i="33"/>
  <c r="A901" i="33"/>
  <c r="A902" i="33"/>
  <c r="A903" i="33"/>
  <c r="A904" i="33"/>
  <c r="A905" i="33"/>
  <c r="A906" i="33"/>
  <c r="A907" i="33"/>
  <c r="A908" i="33"/>
  <c r="A909" i="33"/>
  <c r="A910" i="33"/>
  <c r="A911" i="33"/>
  <c r="A912" i="33"/>
  <c r="A913" i="33"/>
  <c r="A914" i="33"/>
  <c r="A915" i="33"/>
  <c r="A916" i="33"/>
  <c r="A917" i="33"/>
  <c r="A918" i="33"/>
  <c r="A919" i="33"/>
  <c r="A920" i="33"/>
  <c r="A921" i="33"/>
  <c r="A922" i="33"/>
  <c r="A923" i="33"/>
  <c r="A924" i="33"/>
  <c r="A925" i="33"/>
  <c r="A926" i="33"/>
  <c r="A927" i="33"/>
  <c r="A928" i="33"/>
  <c r="A929" i="33"/>
  <c r="A930" i="33"/>
  <c r="A931" i="33"/>
  <c r="A932" i="33"/>
  <c r="A933" i="33"/>
  <c r="A934" i="33"/>
  <c r="A935" i="33"/>
  <c r="A936" i="33"/>
  <c r="A937" i="33"/>
  <c r="A938" i="33"/>
  <c r="A939" i="33"/>
  <c r="A940" i="33"/>
  <c r="A941" i="33"/>
  <c r="A942" i="33"/>
  <c r="A943" i="33"/>
  <c r="A944" i="33"/>
  <c r="A945" i="33"/>
  <c r="A946" i="33"/>
  <c r="A947" i="33"/>
  <c r="A948" i="33"/>
  <c r="A949" i="33"/>
  <c r="A950" i="33"/>
  <c r="A951" i="33"/>
  <c r="A952" i="33"/>
  <c r="A953" i="33"/>
  <c r="A954" i="33"/>
  <c r="A955" i="33"/>
  <c r="A956" i="33"/>
  <c r="A957" i="33"/>
  <c r="A958" i="33"/>
  <c r="A959" i="33"/>
  <c r="A960" i="33"/>
  <c r="A961" i="33"/>
  <c r="A962" i="33"/>
  <c r="A963" i="33"/>
  <c r="A964" i="33"/>
  <c r="A965" i="33"/>
  <c r="A966" i="33"/>
  <c r="A967" i="33"/>
  <c r="A968" i="33"/>
  <c r="A969" i="33"/>
  <c r="A970" i="33"/>
  <c r="A971" i="33"/>
  <c r="A972" i="33"/>
  <c r="A973" i="33"/>
  <c r="A974" i="33"/>
  <c r="A975" i="33"/>
  <c r="A976" i="33"/>
  <c r="A977" i="33"/>
  <c r="A978" i="33"/>
  <c r="A979" i="33"/>
  <c r="A980" i="33"/>
  <c r="A981" i="33"/>
  <c r="A982" i="33"/>
  <c r="A983" i="33"/>
  <c r="A984" i="33"/>
  <c r="A985" i="33"/>
  <c r="A986" i="33"/>
  <c r="A987" i="33"/>
  <c r="A988" i="33"/>
  <c r="A989" i="33"/>
  <c r="A990" i="33"/>
  <c r="A991" i="33"/>
  <c r="A992" i="33"/>
  <c r="A993" i="33"/>
  <c r="A994" i="33"/>
  <c r="A995" i="33"/>
  <c r="A996" i="33"/>
  <c r="A997" i="33"/>
  <c r="A998" i="33"/>
  <c r="A999" i="33"/>
  <c r="A1000" i="33"/>
  <c r="A1001" i="33"/>
  <c r="A1002" i="33"/>
  <c r="A1003" i="33"/>
  <c r="A1004" i="33"/>
  <c r="A1005" i="33"/>
  <c r="A1006" i="33"/>
  <c r="A1007" i="33"/>
  <c r="A1008" i="33"/>
  <c r="A1009" i="33"/>
  <c r="A1010" i="33"/>
  <c r="A1011" i="33"/>
  <c r="A1012" i="33"/>
  <c r="A1013" i="33"/>
  <c r="A1014" i="33"/>
  <c r="A1015" i="33"/>
  <c r="A1016" i="33"/>
  <c r="A1017" i="33"/>
  <c r="A1018" i="33"/>
  <c r="A1019" i="33"/>
  <c r="A1020" i="33"/>
  <c r="A1021" i="33"/>
  <c r="A1022" i="33"/>
  <c r="A1023" i="33"/>
  <c r="A1024" i="33"/>
  <c r="A1025" i="33"/>
  <c r="A1026" i="33"/>
  <c r="A1027" i="33"/>
  <c r="A1028" i="33"/>
  <c r="A1029" i="33"/>
  <c r="A1030" i="33"/>
  <c r="A1031" i="33"/>
  <c r="A1032" i="33"/>
  <c r="A1033" i="33"/>
  <c r="A1034" i="33"/>
  <c r="A1035" i="33"/>
  <c r="A1036" i="33"/>
  <c r="A1037" i="33"/>
  <c r="A1038" i="33"/>
  <c r="A1039" i="33"/>
  <c r="A1040" i="33"/>
  <c r="A1041" i="33"/>
  <c r="A1042" i="33"/>
  <c r="A1043" i="33"/>
  <c r="A1044" i="33"/>
  <c r="A1045" i="33"/>
  <c r="A1046" i="33"/>
  <c r="A1047" i="33"/>
  <c r="A1048" i="33"/>
  <c r="A1049" i="33"/>
  <c r="A1050" i="33"/>
  <c r="A1051" i="33"/>
  <c r="A1052" i="33"/>
  <c r="A1053" i="33"/>
  <c r="A1054" i="33"/>
  <c r="A1055" i="33"/>
  <c r="A1056" i="33"/>
  <c r="A1057" i="33"/>
  <c r="A1058" i="33"/>
  <c r="A1059" i="33"/>
  <c r="A1060" i="33"/>
  <c r="A1061" i="33"/>
  <c r="A1062" i="33"/>
  <c r="A1063" i="33"/>
  <c r="A1064" i="33"/>
  <c r="A1065" i="33"/>
  <c r="A1066" i="33"/>
  <c r="A1067" i="33"/>
  <c r="A1068" i="33"/>
  <c r="A1069" i="33"/>
  <c r="A1070" i="33"/>
  <c r="A1071" i="33"/>
  <c r="A1072" i="33"/>
  <c r="A1073" i="33"/>
  <c r="A1074" i="33"/>
  <c r="A1075" i="33"/>
  <c r="A1076" i="33"/>
  <c r="A1077" i="33"/>
  <c r="A1078" i="33"/>
  <c r="A1079" i="33"/>
  <c r="A1080" i="33"/>
  <c r="A1081" i="33"/>
  <c r="A1082" i="33"/>
  <c r="A1083" i="33"/>
  <c r="A1084" i="33"/>
  <c r="A1085" i="33"/>
  <c r="A1086" i="33"/>
  <c r="A1087" i="33"/>
  <c r="A1088" i="33"/>
  <c r="A1089" i="33"/>
  <c r="A1090" i="33"/>
  <c r="A1091" i="33"/>
  <c r="A1092" i="33"/>
  <c r="A1093" i="33"/>
  <c r="A1094" i="33"/>
  <c r="A1095" i="33"/>
  <c r="A1096" i="33"/>
  <c r="A1097" i="33"/>
  <c r="A1098" i="33"/>
  <c r="A1099" i="33"/>
  <c r="A1100" i="33"/>
  <c r="A1101" i="33"/>
  <c r="A1102" i="33"/>
  <c r="A1103" i="33"/>
  <c r="A1104" i="33"/>
  <c r="A1105" i="33"/>
  <c r="A1106" i="33"/>
  <c r="A1107" i="33"/>
  <c r="A1108" i="33"/>
  <c r="A1109" i="33"/>
  <c r="A1110" i="33"/>
  <c r="A1111" i="33"/>
  <c r="A1112" i="33"/>
  <c r="A1113" i="33"/>
  <c r="A1114" i="33"/>
  <c r="A1115" i="33"/>
  <c r="A1116" i="33"/>
  <c r="A1117" i="33"/>
  <c r="A1118" i="33"/>
  <c r="A1119" i="33"/>
  <c r="A1120" i="33"/>
  <c r="A1121" i="33"/>
  <c r="A1122" i="33"/>
  <c r="A1123" i="33"/>
  <c r="A1124" i="33"/>
  <c r="A1125" i="33"/>
  <c r="A1126" i="33"/>
  <c r="A1127" i="33"/>
  <c r="A1128" i="33"/>
  <c r="A1129" i="33"/>
  <c r="A1130" i="33"/>
  <c r="A1131" i="33"/>
  <c r="A1132" i="33"/>
  <c r="A1133" i="33"/>
  <c r="A1134" i="33"/>
  <c r="A1135" i="33"/>
  <c r="A1136" i="33"/>
  <c r="A1137" i="33"/>
  <c r="A1138" i="33"/>
  <c r="A1139" i="33"/>
  <c r="A1140" i="33"/>
  <c r="A1141" i="33"/>
  <c r="A1142" i="33"/>
  <c r="A1143" i="33"/>
  <c r="A1144" i="33"/>
  <c r="A1145" i="33"/>
  <c r="A1146" i="33"/>
  <c r="A1147" i="33"/>
  <c r="A1148" i="33"/>
  <c r="A1149" i="33"/>
  <c r="A1150" i="33"/>
  <c r="A1151" i="33"/>
  <c r="A1152" i="33"/>
  <c r="A1153" i="33"/>
  <c r="A1154" i="33"/>
  <c r="A1155" i="33"/>
  <c r="A1156" i="33"/>
  <c r="A1157" i="33"/>
  <c r="A1158" i="33"/>
  <c r="A1159" i="33"/>
  <c r="A1160" i="33"/>
  <c r="A1161" i="33"/>
  <c r="A1162" i="33"/>
  <c r="A1163" i="33"/>
  <c r="A1164" i="33"/>
  <c r="A1165" i="33"/>
  <c r="A1166" i="33"/>
  <c r="A1167" i="33"/>
  <c r="A1168" i="33"/>
  <c r="A1169" i="33"/>
  <c r="A1170" i="33"/>
  <c r="A1171" i="33"/>
  <c r="A1172" i="33"/>
  <c r="A1173" i="33"/>
  <c r="A1174" i="33"/>
  <c r="A1175" i="33"/>
  <c r="A1176" i="33"/>
  <c r="A1177" i="33"/>
  <c r="A1178" i="33"/>
  <c r="A1179" i="33"/>
  <c r="A1180" i="33"/>
  <c r="A1181" i="33"/>
  <c r="A1182" i="33"/>
  <c r="A1183" i="33"/>
  <c r="A1184" i="33"/>
  <c r="A1185" i="33"/>
  <c r="A1186" i="33"/>
  <c r="A1187" i="33"/>
  <c r="A1188" i="33"/>
  <c r="A1189" i="33"/>
  <c r="A1190" i="33"/>
  <c r="A1191" i="33"/>
  <c r="A1192" i="33"/>
  <c r="A1193" i="33"/>
  <c r="A1194" i="33"/>
  <c r="A1195" i="33"/>
  <c r="A1196" i="33"/>
  <c r="A1197" i="33"/>
  <c r="A1198" i="33"/>
  <c r="A1199" i="33"/>
  <c r="A1200" i="33"/>
  <c r="A1201" i="33"/>
  <c r="A1202" i="33"/>
  <c r="A1203" i="33"/>
  <c r="A1204" i="33"/>
  <c r="A1205" i="33"/>
  <c r="A1206" i="33"/>
  <c r="A1207" i="33"/>
  <c r="A1208" i="33"/>
  <c r="A1209" i="33"/>
  <c r="A1210" i="33"/>
  <c r="A1211" i="33"/>
  <c r="A1212" i="33"/>
  <c r="A1213" i="33"/>
  <c r="A1214" i="33"/>
  <c r="A1215" i="33"/>
  <c r="A1216" i="33"/>
  <c r="A1217" i="33"/>
  <c r="A1218" i="33"/>
  <c r="A1219" i="33"/>
  <c r="A1220" i="33"/>
  <c r="A1221" i="33"/>
  <c r="A1222" i="33"/>
  <c r="A1223" i="33"/>
  <c r="A1224" i="33"/>
  <c r="A1225" i="33"/>
  <c r="A1226" i="33"/>
  <c r="A1227" i="33"/>
  <c r="A1228" i="33"/>
  <c r="A1229" i="33"/>
  <c r="A1230" i="33"/>
  <c r="A1231" i="33"/>
  <c r="A1232" i="33"/>
  <c r="A1233" i="33"/>
  <c r="A1234" i="33"/>
  <c r="A1235" i="33"/>
  <c r="A1236" i="33"/>
  <c r="A1237" i="33"/>
  <c r="A1238" i="33"/>
  <c r="A1239" i="33"/>
  <c r="A1240" i="33"/>
  <c r="A1241" i="33"/>
  <c r="A1242" i="33"/>
  <c r="A1243" i="33"/>
  <c r="A1244" i="33"/>
  <c r="A1245" i="33"/>
  <c r="A1246" i="33"/>
  <c r="A1247" i="33"/>
  <c r="A1248" i="33"/>
  <c r="A1249" i="33"/>
  <c r="A1250" i="33"/>
  <c r="A1251" i="33"/>
  <c r="A1252" i="33"/>
  <c r="A1253" i="33"/>
  <c r="A1254" i="33"/>
  <c r="A1255" i="33"/>
  <c r="A1256" i="33"/>
  <c r="A1257" i="33"/>
  <c r="A1258" i="33"/>
  <c r="A1259" i="33"/>
  <c r="A1260" i="33"/>
  <c r="A1261" i="33"/>
  <c r="A1262" i="33"/>
  <c r="A1263" i="33"/>
  <c r="A1264" i="33"/>
  <c r="A1265" i="33"/>
  <c r="A1266" i="33"/>
  <c r="A1267" i="33"/>
  <c r="A1268" i="33"/>
  <c r="A1269" i="33"/>
  <c r="A1270" i="33"/>
  <c r="A1271" i="33"/>
  <c r="A1272" i="33"/>
  <c r="A1273" i="33"/>
  <c r="A1274" i="33"/>
  <c r="A1275" i="33"/>
  <c r="A1276" i="33"/>
  <c r="A1277" i="33"/>
  <c r="A1278" i="33"/>
  <c r="A1279" i="33"/>
  <c r="A1280" i="33"/>
  <c r="A1281" i="33"/>
  <c r="A1282" i="33"/>
  <c r="A1283" i="33"/>
  <c r="A1284" i="33"/>
  <c r="A1285" i="33"/>
  <c r="A1286" i="33"/>
  <c r="A1287" i="33"/>
  <c r="A1288" i="33"/>
  <c r="A1289" i="33"/>
  <c r="A1290" i="33"/>
  <c r="A1291" i="33"/>
  <c r="A1292" i="33"/>
  <c r="A1293" i="33"/>
  <c r="A1294" i="33"/>
  <c r="A1295" i="33"/>
  <c r="A1296" i="33"/>
  <c r="A1297" i="33"/>
  <c r="A1298" i="33"/>
  <c r="A1299" i="33"/>
  <c r="A1300" i="33"/>
  <c r="A1301" i="33"/>
  <c r="A1302" i="33"/>
  <c r="A1303" i="33"/>
  <c r="A1304" i="33"/>
  <c r="A1305" i="33"/>
  <c r="A1306" i="33"/>
  <c r="A1307" i="33"/>
  <c r="A1308" i="33"/>
  <c r="A1309" i="33"/>
  <c r="A1310" i="33"/>
  <c r="A1311" i="33"/>
  <c r="A1312" i="33"/>
  <c r="A1313" i="33"/>
  <c r="A1314" i="33"/>
  <c r="A1315" i="33"/>
  <c r="A1316" i="33"/>
  <c r="A1317" i="33"/>
  <c r="A1318" i="33"/>
  <c r="A1319" i="33"/>
  <c r="A1320" i="33"/>
  <c r="A1321" i="33"/>
  <c r="A1322" i="33"/>
  <c r="A1323" i="33"/>
  <c r="A1324" i="33"/>
  <c r="A1325" i="33"/>
  <c r="A1326" i="33"/>
  <c r="A1327" i="33"/>
  <c r="A1328" i="33"/>
  <c r="A1329" i="33"/>
  <c r="A1330" i="33"/>
  <c r="A1331" i="33"/>
  <c r="A1332" i="33"/>
  <c r="A1333" i="33"/>
  <c r="A1334" i="33"/>
  <c r="A1335" i="33"/>
  <c r="A1336" i="33"/>
  <c r="A1337" i="33"/>
  <c r="A1338" i="33"/>
  <c r="A1339" i="33"/>
  <c r="A1340" i="33"/>
  <c r="A1341" i="33"/>
  <c r="A1342" i="33"/>
  <c r="A1343" i="33"/>
  <c r="A1344" i="33"/>
  <c r="A1345" i="33"/>
  <c r="A1346" i="33"/>
  <c r="A1347" i="33"/>
  <c r="A1348" i="33"/>
  <c r="A1349" i="33"/>
  <c r="A1350" i="33"/>
  <c r="A1351" i="33"/>
  <c r="A1352" i="33"/>
  <c r="A1353" i="33"/>
  <c r="A1354" i="33"/>
  <c r="A1355" i="33"/>
  <c r="A1356" i="33"/>
  <c r="A1357" i="33"/>
  <c r="A1358" i="33"/>
  <c r="A1359" i="33"/>
  <c r="A1360" i="33"/>
  <c r="A1361" i="33"/>
  <c r="A1362" i="33"/>
  <c r="A1363" i="33"/>
  <c r="A1364" i="33"/>
  <c r="A1365" i="33"/>
  <c r="A1366" i="33"/>
  <c r="A1367" i="33"/>
  <c r="A1368" i="33"/>
  <c r="A1369" i="33"/>
  <c r="A1370" i="33"/>
  <c r="A1371" i="33"/>
  <c r="A1372" i="33"/>
  <c r="A1373" i="33"/>
  <c r="A1374" i="33"/>
  <c r="A1375" i="33"/>
  <c r="A1376" i="33"/>
  <c r="A1377" i="33"/>
  <c r="A1378" i="33"/>
  <c r="A1379" i="33"/>
  <c r="A1380" i="33"/>
  <c r="A1381" i="33"/>
  <c r="A1382" i="33"/>
  <c r="A1383" i="33"/>
  <c r="A1384" i="33"/>
  <c r="A1385" i="33"/>
  <c r="A1386" i="33"/>
  <c r="A1387" i="33"/>
  <c r="A1388" i="33"/>
  <c r="A1389" i="33"/>
  <c r="A1390" i="33"/>
  <c r="A1391" i="33"/>
  <c r="A1392" i="33"/>
  <c r="A1393" i="33"/>
  <c r="A1394" i="33"/>
  <c r="A1395" i="33"/>
  <c r="A1396" i="33"/>
  <c r="A1397" i="33"/>
  <c r="A1398" i="33"/>
  <c r="A1399" i="33"/>
  <c r="A1400" i="33"/>
  <c r="A1401" i="33"/>
  <c r="A1402" i="33"/>
  <c r="A1403" i="33"/>
  <c r="A1404" i="33"/>
  <c r="A1405" i="33"/>
  <c r="A1406" i="33"/>
  <c r="A1407" i="33"/>
  <c r="A1408" i="33"/>
  <c r="A1409" i="33"/>
  <c r="A1410" i="33"/>
  <c r="A1411" i="33"/>
  <c r="A1412" i="33"/>
  <c r="A1413" i="33"/>
  <c r="A1414" i="33"/>
  <c r="A1415" i="33"/>
  <c r="A1416" i="33"/>
  <c r="A1417" i="33"/>
  <c r="A1418" i="33"/>
  <c r="A1419" i="33"/>
  <c r="A1420" i="33"/>
  <c r="A1421" i="33"/>
  <c r="A1422" i="33"/>
  <c r="A1423" i="33"/>
  <c r="A1424" i="33"/>
  <c r="A1425" i="33"/>
  <c r="A1426" i="33"/>
  <c r="A1427" i="33"/>
  <c r="A1428" i="33"/>
  <c r="A1429" i="33"/>
  <c r="A1430" i="33"/>
  <c r="A1431" i="33"/>
  <c r="A1432" i="33"/>
  <c r="A1433" i="33"/>
  <c r="A1434" i="33"/>
  <c r="A1435" i="33"/>
  <c r="A1436" i="33"/>
  <c r="A1437" i="33"/>
  <c r="A1438" i="33"/>
  <c r="A1439" i="33"/>
  <c r="A1440" i="33"/>
  <c r="A1441" i="33"/>
  <c r="A1442" i="33"/>
  <c r="A1443" i="33"/>
  <c r="A1444" i="33"/>
  <c r="A1445" i="33"/>
  <c r="A1446" i="33"/>
  <c r="A1447" i="33"/>
  <c r="A1448" i="33"/>
  <c r="A1449" i="33"/>
  <c r="A1450" i="33"/>
  <c r="A1451" i="33"/>
  <c r="A1452" i="33"/>
  <c r="A1453" i="33"/>
  <c r="A1454" i="33"/>
  <c r="A1455" i="33"/>
  <c r="A1456" i="33"/>
  <c r="A1457" i="33"/>
  <c r="A1458" i="33"/>
  <c r="A1459" i="33"/>
  <c r="A1460" i="33"/>
  <c r="A1461" i="33"/>
  <c r="A1462" i="33"/>
  <c r="A1463" i="33"/>
  <c r="A1464" i="33"/>
  <c r="A1465" i="33"/>
  <c r="A1466" i="33"/>
  <c r="A1467" i="33"/>
  <c r="A1468" i="33"/>
  <c r="A1469" i="33"/>
  <c r="A1470" i="33"/>
  <c r="A1471" i="33"/>
  <c r="A1472" i="33"/>
  <c r="A1473" i="33"/>
  <c r="A1474" i="33"/>
  <c r="A1475" i="33"/>
  <c r="A1476" i="33"/>
  <c r="A1477" i="33"/>
  <c r="A1478" i="33"/>
  <c r="A1479" i="33"/>
  <c r="A1480" i="33"/>
  <c r="A1481" i="33"/>
  <c r="A1482" i="33"/>
  <c r="A1483" i="33"/>
  <c r="A1484" i="33"/>
  <c r="A1485" i="33"/>
  <c r="A1486" i="33"/>
  <c r="A1487" i="33"/>
  <c r="A1488" i="33"/>
  <c r="A1489" i="33"/>
  <c r="A1490" i="33"/>
  <c r="A1491" i="33"/>
  <c r="A1492" i="33"/>
  <c r="A1493" i="33"/>
  <c r="A1494" i="33"/>
  <c r="A1495" i="33"/>
  <c r="A1496" i="33"/>
  <c r="A1497" i="33"/>
  <c r="A1498" i="33"/>
  <c r="A1499" i="33"/>
  <c r="A1500" i="33"/>
  <c r="A1501" i="33"/>
  <c r="A1502" i="33"/>
  <c r="A1503" i="33"/>
  <c r="A1504" i="33"/>
  <c r="A1505" i="33"/>
  <c r="A1506" i="33"/>
  <c r="A1507" i="33"/>
  <c r="A1508" i="33"/>
  <c r="A1509" i="33"/>
  <c r="A1510" i="33"/>
  <c r="A1511" i="33"/>
  <c r="A1512" i="33"/>
  <c r="A1513" i="33"/>
  <c r="A1514" i="33"/>
  <c r="A1515" i="33"/>
  <c r="A1516" i="33"/>
  <c r="A1517" i="33"/>
  <c r="A1518" i="33"/>
  <c r="A1519" i="33"/>
  <c r="A1520" i="33"/>
  <c r="A1521" i="33"/>
  <c r="A1522" i="33"/>
  <c r="A1523" i="33"/>
  <c r="A1524" i="33"/>
  <c r="A1525" i="33"/>
  <c r="A1526" i="33"/>
  <c r="A1527" i="33"/>
  <c r="A1528" i="33"/>
  <c r="A1529" i="33"/>
  <c r="A1530" i="33"/>
  <c r="A1531" i="33"/>
  <c r="A1532" i="33"/>
  <c r="A1533" i="33"/>
  <c r="A1534" i="33"/>
  <c r="A1535" i="33"/>
  <c r="A1536" i="33"/>
  <c r="A1537" i="33"/>
  <c r="A1538" i="33"/>
  <c r="A1539" i="33"/>
  <c r="A1540" i="33"/>
  <c r="A1541" i="33"/>
  <c r="A1542" i="33"/>
  <c r="A1543" i="33"/>
  <c r="A1544" i="33"/>
  <c r="A1545" i="33"/>
  <c r="A1546" i="33"/>
  <c r="A1547" i="33"/>
  <c r="A1548" i="33"/>
  <c r="A1549" i="33"/>
  <c r="A1550" i="33"/>
  <c r="A1551" i="33"/>
  <c r="A1552" i="33"/>
  <c r="A1553" i="33"/>
  <c r="A1554" i="33"/>
  <c r="A1555" i="33"/>
  <c r="A1556" i="33"/>
  <c r="A1557" i="33"/>
  <c r="A1558" i="33"/>
  <c r="A1559" i="33"/>
  <c r="A1560" i="33"/>
  <c r="A1561" i="33"/>
  <c r="A1562" i="33"/>
  <c r="A1563" i="33"/>
  <c r="A1564" i="33"/>
  <c r="A1565" i="33"/>
  <c r="A1566" i="33"/>
  <c r="A1567" i="33"/>
  <c r="A1568" i="33"/>
  <c r="A1569" i="33"/>
  <c r="A1570" i="33"/>
  <c r="A1571" i="33"/>
  <c r="A1572" i="33"/>
  <c r="A1573" i="33"/>
  <c r="A1574" i="33"/>
  <c r="A1575" i="33"/>
  <c r="A1576" i="33"/>
  <c r="A1577" i="33"/>
  <c r="A1578" i="33"/>
  <c r="A1579" i="33"/>
  <c r="A1580" i="33"/>
  <c r="A1581" i="33"/>
  <c r="A1582" i="33"/>
  <c r="A1583" i="33"/>
  <c r="A1584" i="33"/>
  <c r="A1585" i="33"/>
  <c r="A1586" i="33"/>
  <c r="A1587" i="33"/>
  <c r="A1588" i="33"/>
  <c r="A1589" i="33"/>
  <c r="A1590" i="33"/>
  <c r="A1591" i="33"/>
  <c r="A1592" i="33"/>
  <c r="A1593" i="33"/>
  <c r="A1594" i="33"/>
  <c r="A1595" i="33"/>
  <c r="A1596" i="33"/>
  <c r="A1597" i="33"/>
  <c r="A1598" i="33"/>
  <c r="A1599" i="33"/>
  <c r="A1600" i="33"/>
  <c r="A1601" i="33"/>
  <c r="A1602" i="33"/>
  <c r="A1603" i="33"/>
  <c r="A1604" i="33"/>
  <c r="A1605" i="33"/>
  <c r="A1606" i="33"/>
  <c r="A1607" i="33"/>
  <c r="A1608" i="33"/>
  <c r="A1609" i="33"/>
  <c r="A1610" i="33"/>
  <c r="A1611" i="33"/>
  <c r="A1612" i="33"/>
  <c r="A1613" i="33"/>
  <c r="A1614" i="33"/>
  <c r="A1615" i="33"/>
  <c r="A1616" i="33"/>
  <c r="A1617" i="33"/>
  <c r="A1618" i="33"/>
  <c r="A1619" i="33"/>
  <c r="A1620" i="33"/>
  <c r="A1621" i="33"/>
  <c r="A1622" i="33"/>
  <c r="A1623" i="33"/>
  <c r="A1624" i="33"/>
  <c r="A1625" i="33"/>
  <c r="A1626" i="33"/>
  <c r="A1627" i="33"/>
  <c r="A1628" i="33"/>
  <c r="A1629" i="33"/>
  <c r="A1630" i="33"/>
  <c r="A1631" i="33"/>
  <c r="A1632" i="33"/>
  <c r="A1633" i="33"/>
  <c r="A1634" i="33"/>
  <c r="A1635" i="33"/>
  <c r="A1636" i="33"/>
  <c r="A1637" i="33"/>
  <c r="A1638" i="33"/>
  <c r="A1639" i="33"/>
  <c r="A1640" i="33"/>
  <c r="A1641" i="33"/>
  <c r="A1642" i="33"/>
  <c r="A1643" i="33"/>
  <c r="A1644" i="33"/>
  <c r="A1645" i="33"/>
  <c r="A1646" i="33"/>
  <c r="A1647" i="33"/>
  <c r="A1648" i="33"/>
  <c r="A1649" i="33"/>
  <c r="A1650" i="33"/>
  <c r="A1651" i="33"/>
  <c r="A1652" i="33"/>
  <c r="A1653" i="33"/>
  <c r="A1654" i="33"/>
  <c r="A1655" i="33"/>
  <c r="A1656" i="33"/>
  <c r="A1657" i="33"/>
  <c r="A1658" i="33"/>
  <c r="A1659" i="33"/>
  <c r="A1660" i="33"/>
  <c r="A1661" i="33"/>
  <c r="A1662" i="33"/>
  <c r="A1663" i="33"/>
  <c r="A1664" i="33"/>
  <c r="A1665" i="33"/>
  <c r="A1666" i="33"/>
  <c r="A1667" i="33"/>
  <c r="A1668" i="33"/>
  <c r="A1669" i="33"/>
  <c r="A1670" i="33"/>
  <c r="A1671" i="33"/>
  <c r="A1672" i="33"/>
  <c r="A1673" i="33"/>
  <c r="A1674" i="33"/>
  <c r="A1675" i="33"/>
  <c r="A1676" i="33"/>
  <c r="A1677" i="33"/>
  <c r="A1678" i="33"/>
  <c r="A1679" i="33"/>
  <c r="A1680" i="33"/>
  <c r="A1681" i="33"/>
  <c r="A1682" i="33"/>
  <c r="A1683" i="33"/>
  <c r="A1684" i="33"/>
  <c r="A1685" i="33"/>
  <c r="A1686" i="33"/>
  <c r="A1687" i="33"/>
  <c r="A1688" i="33"/>
  <c r="A1689" i="33"/>
  <c r="A1690" i="33"/>
  <c r="A1691" i="33"/>
  <c r="A1692" i="33"/>
  <c r="A1693" i="33"/>
  <c r="A1694" i="33"/>
  <c r="A1695" i="33"/>
  <c r="A1696" i="33"/>
  <c r="A1697" i="33"/>
  <c r="A1698" i="33"/>
  <c r="A1699" i="33"/>
  <c r="A1700" i="33"/>
  <c r="A1701" i="33"/>
  <c r="A1702" i="33"/>
  <c r="A1703" i="33"/>
  <c r="A1704" i="33"/>
  <c r="A1705" i="33"/>
  <c r="A1706" i="33"/>
  <c r="A1707" i="33"/>
  <c r="A1708" i="33"/>
  <c r="A1709" i="33"/>
  <c r="A1710" i="33"/>
  <c r="A1711" i="33"/>
  <c r="A1712" i="33"/>
  <c r="A1713" i="33"/>
  <c r="A1714" i="33"/>
  <c r="A1715" i="33"/>
  <c r="A1716" i="33"/>
  <c r="A1717" i="33"/>
  <c r="A1718" i="33"/>
  <c r="A1719" i="33"/>
  <c r="A1720" i="33"/>
  <c r="A1721" i="33"/>
  <c r="A1722" i="33"/>
  <c r="A1723" i="33"/>
  <c r="A1724" i="33"/>
  <c r="A1725" i="33"/>
  <c r="A1726" i="33"/>
  <c r="A1727" i="33"/>
  <c r="A1728" i="33"/>
  <c r="A1729" i="33"/>
  <c r="A1730" i="33"/>
  <c r="A1731" i="33"/>
  <c r="A1732" i="33"/>
  <c r="A1733" i="33"/>
  <c r="A1734" i="33"/>
  <c r="A1735" i="33"/>
  <c r="A1736" i="33"/>
  <c r="A1737" i="33"/>
  <c r="A1738" i="33"/>
  <c r="A1739" i="33"/>
  <c r="A1740" i="33"/>
  <c r="A1741" i="33"/>
  <c r="A1742" i="33"/>
  <c r="A1743" i="33"/>
  <c r="A1744" i="33"/>
  <c r="A1745" i="33"/>
  <c r="A1746" i="33"/>
  <c r="A1747" i="33"/>
  <c r="A1748" i="33"/>
  <c r="A1749" i="33"/>
  <c r="A1750" i="33"/>
  <c r="A1751" i="33"/>
  <c r="A1752" i="33"/>
  <c r="A1753" i="33"/>
  <c r="A1754" i="33"/>
  <c r="A1755" i="33"/>
  <c r="A1756" i="33"/>
  <c r="A1757" i="33"/>
  <c r="A1758" i="33"/>
  <c r="A1759" i="33"/>
  <c r="A1760" i="33"/>
  <c r="A1761" i="33"/>
  <c r="A1762" i="33"/>
  <c r="A1763" i="33"/>
  <c r="A1764" i="33"/>
  <c r="A1765" i="33"/>
  <c r="A1766" i="33"/>
  <c r="A1767" i="33"/>
  <c r="A1768" i="33"/>
  <c r="A1769" i="33"/>
  <c r="A1770" i="33"/>
  <c r="A1771" i="33"/>
  <c r="A1772" i="33"/>
  <c r="A1773" i="33"/>
  <c r="A1774" i="33"/>
  <c r="A1775" i="33"/>
  <c r="A1776" i="33"/>
  <c r="A1777" i="33"/>
  <c r="A1778" i="33"/>
  <c r="A1779" i="33"/>
  <c r="A1780" i="33"/>
  <c r="A1781" i="33"/>
  <c r="A1782" i="33"/>
  <c r="A1783" i="33"/>
  <c r="A1784" i="33"/>
  <c r="A1785" i="33"/>
  <c r="A1786" i="33"/>
  <c r="A1787" i="33"/>
  <c r="A1788" i="33"/>
  <c r="A1789" i="33"/>
  <c r="A1790" i="33"/>
  <c r="A1791" i="33"/>
  <c r="A1792" i="33"/>
  <c r="A1793" i="33"/>
  <c r="A1794" i="33"/>
  <c r="A1795" i="33"/>
  <c r="A1796" i="33"/>
  <c r="A1797" i="33"/>
  <c r="A1798" i="33"/>
  <c r="A1799" i="33"/>
  <c r="A1800" i="33"/>
  <c r="A1801" i="33"/>
  <c r="A1802" i="33"/>
  <c r="A1803" i="33"/>
  <c r="A1804" i="33"/>
  <c r="A1805" i="33"/>
  <c r="A1806" i="33"/>
  <c r="A1807" i="33"/>
  <c r="A1808" i="33"/>
  <c r="A1809" i="33"/>
  <c r="A1810" i="33"/>
  <c r="A1811" i="33"/>
  <c r="A1812" i="33"/>
  <c r="A1813" i="33"/>
  <c r="A1814" i="33"/>
  <c r="A1815" i="33"/>
  <c r="A1816" i="33"/>
  <c r="A1817" i="33"/>
  <c r="A1818" i="33"/>
  <c r="A1819" i="33"/>
  <c r="A1820" i="33"/>
  <c r="A1821" i="33"/>
  <c r="A1822" i="33"/>
  <c r="A1823" i="33"/>
  <c r="A1824" i="33"/>
  <c r="A1825" i="33"/>
  <c r="A1826" i="33"/>
  <c r="A1827" i="33"/>
  <c r="A1828" i="33"/>
  <c r="A1829" i="33"/>
  <c r="A1830" i="33"/>
  <c r="A1831" i="33"/>
  <c r="A1832" i="33"/>
  <c r="A1833" i="33"/>
  <c r="A1834" i="33"/>
  <c r="A1835" i="33"/>
  <c r="A1836" i="33"/>
  <c r="A1837" i="33"/>
  <c r="A1838" i="33"/>
  <c r="A1839" i="33"/>
  <c r="A1840" i="33"/>
  <c r="A1841" i="33"/>
  <c r="A1842" i="33"/>
  <c r="A1843" i="33"/>
  <c r="A1844" i="33"/>
  <c r="A1845" i="33"/>
  <c r="A1846" i="33"/>
  <c r="A1847" i="33"/>
  <c r="A1848" i="33"/>
  <c r="A1849" i="33"/>
  <c r="A1850" i="33"/>
  <c r="A1851" i="33"/>
  <c r="A1852" i="33"/>
  <c r="A1853" i="33"/>
  <c r="A1854" i="33"/>
  <c r="A1855" i="33"/>
  <c r="A1856" i="33"/>
  <c r="A1857" i="33"/>
  <c r="A1858" i="33"/>
  <c r="A1859" i="33"/>
  <c r="A1860" i="33"/>
  <c r="A1861" i="33"/>
  <c r="A1862" i="33"/>
  <c r="A1863" i="33"/>
  <c r="A1864" i="33"/>
  <c r="A1865" i="33"/>
  <c r="A1866" i="33"/>
  <c r="A1867" i="33"/>
  <c r="A1868" i="33"/>
  <c r="A1869" i="33"/>
  <c r="A1870" i="33"/>
  <c r="A1871" i="33"/>
  <c r="A1872" i="33"/>
  <c r="A1873" i="33"/>
  <c r="A1874" i="33"/>
  <c r="A1875" i="33"/>
  <c r="A1876" i="33"/>
  <c r="A1877" i="33"/>
  <c r="A1878" i="33"/>
  <c r="A1879" i="33"/>
  <c r="A1880" i="33"/>
  <c r="A1881" i="33"/>
  <c r="A1882" i="33"/>
  <c r="A1883" i="33"/>
  <c r="A1884" i="33"/>
  <c r="A1885" i="33"/>
  <c r="A1886" i="33"/>
  <c r="A1887" i="33"/>
  <c r="A1888" i="33"/>
  <c r="A1889" i="33"/>
  <c r="A1890" i="33"/>
  <c r="A1891" i="33"/>
  <c r="A1892" i="33"/>
  <c r="A1893" i="33"/>
  <c r="A1894" i="33"/>
  <c r="A1895" i="33"/>
  <c r="A1896" i="33"/>
  <c r="A1897" i="33"/>
  <c r="A1898" i="33"/>
  <c r="A1899" i="33"/>
  <c r="A1900" i="33"/>
  <c r="A1901" i="33"/>
  <c r="A1902" i="33"/>
  <c r="A1903" i="33"/>
  <c r="A1904" i="33"/>
  <c r="A1905" i="33"/>
  <c r="A1906" i="33"/>
  <c r="A1907" i="33"/>
  <c r="A1908" i="33"/>
  <c r="A1909" i="33"/>
  <c r="A1910" i="33"/>
  <c r="A1911" i="33"/>
  <c r="A1912" i="33"/>
  <c r="A1913" i="33"/>
  <c r="A1914" i="33"/>
  <c r="A1915" i="33"/>
  <c r="A1916" i="33"/>
  <c r="A1917" i="33"/>
  <c r="A1918" i="33"/>
  <c r="A1919" i="33"/>
  <c r="A1920" i="33"/>
  <c r="A1921" i="33"/>
  <c r="A1922" i="33"/>
  <c r="A1923" i="33"/>
  <c r="A1924" i="33"/>
  <c r="A1925" i="33"/>
  <c r="A1926" i="33"/>
  <c r="A1927" i="33"/>
  <c r="A1928" i="33"/>
  <c r="A1929" i="33"/>
  <c r="A1930" i="33"/>
  <c r="A1931" i="33"/>
  <c r="A1932" i="33"/>
  <c r="A1933" i="33"/>
  <c r="A1934" i="33"/>
  <c r="A1935" i="33"/>
  <c r="A1936" i="33"/>
  <c r="A1937" i="33"/>
  <c r="A1938" i="33"/>
  <c r="A1939" i="33"/>
  <c r="A1940" i="33"/>
  <c r="A1941" i="33"/>
  <c r="A1942" i="33"/>
  <c r="A1943" i="33"/>
  <c r="A1944" i="33"/>
  <c r="A1945" i="33"/>
  <c r="A1946" i="33"/>
  <c r="A1947" i="33"/>
  <c r="A1948" i="33"/>
  <c r="A1949" i="33"/>
  <c r="A1950" i="33"/>
  <c r="A1951" i="33"/>
  <c r="A1952" i="33"/>
  <c r="A1953" i="33"/>
  <c r="A1954" i="33"/>
  <c r="A1955" i="33"/>
  <c r="A1956" i="33"/>
  <c r="A1957" i="33"/>
  <c r="A1958" i="33"/>
  <c r="A1959" i="33"/>
  <c r="A1960" i="33"/>
  <c r="A1961" i="33"/>
  <c r="A1962" i="33"/>
  <c r="A1963" i="33"/>
  <c r="A1964" i="33"/>
  <c r="A1965" i="33"/>
  <c r="A1966" i="33"/>
  <c r="A1967" i="33"/>
  <c r="A1968" i="33"/>
  <c r="A1969" i="33"/>
  <c r="A1970" i="33"/>
  <c r="A1971" i="33"/>
  <c r="A1972" i="33"/>
  <c r="A1973" i="33"/>
  <c r="A1974" i="33"/>
  <c r="A1975" i="33"/>
  <c r="A1976" i="33"/>
  <c r="A1977" i="33"/>
  <c r="A1978" i="33"/>
  <c r="A1979" i="33"/>
  <c r="A1980" i="33"/>
  <c r="A1981" i="33"/>
  <c r="A1982" i="33"/>
  <c r="A1983" i="33"/>
  <c r="A1984" i="33"/>
  <c r="A1985" i="33"/>
  <c r="A1986" i="33"/>
  <c r="A1987" i="33"/>
  <c r="A1988" i="33"/>
  <c r="A1989" i="33"/>
  <c r="A1990" i="33"/>
  <c r="A1991" i="33"/>
  <c r="A1992" i="33"/>
  <c r="A1993" i="33"/>
  <c r="A1994" i="33"/>
  <c r="A1995" i="33"/>
  <c r="A1996" i="33"/>
  <c r="A1997" i="33"/>
  <c r="A1998" i="33"/>
  <c r="A1999" i="33"/>
  <c r="A2000" i="33"/>
  <c r="A2001" i="33"/>
  <c r="A2002" i="33"/>
  <c r="A2003" i="33"/>
  <c r="A2004" i="33"/>
  <c r="A2005" i="33"/>
  <c r="A2006" i="33"/>
  <c r="A2007" i="33"/>
  <c r="A2008" i="33"/>
  <c r="A2009" i="33"/>
  <c r="A2010" i="33"/>
  <c r="A2011" i="33"/>
  <c r="A2012" i="33"/>
  <c r="A2013" i="33"/>
  <c r="A2014" i="33"/>
  <c r="A2015" i="33"/>
  <c r="A2016" i="33"/>
  <c r="A2017" i="33"/>
  <c r="A2018" i="33"/>
  <c r="A2019" i="33"/>
  <c r="A2020" i="33"/>
  <c r="A2021" i="33"/>
  <c r="A2022" i="33"/>
  <c r="A2023" i="33"/>
  <c r="A2024" i="33"/>
  <c r="A2025" i="33"/>
  <c r="A2026" i="33"/>
  <c r="A2027" i="33"/>
  <c r="A2028" i="33"/>
  <c r="A2029" i="33"/>
  <c r="A2030" i="33"/>
  <c r="A2031" i="33"/>
  <c r="A2032" i="33"/>
  <c r="A2033" i="33"/>
  <c r="A2034" i="33"/>
  <c r="A2035" i="33"/>
  <c r="A2036" i="33"/>
  <c r="A2037" i="33"/>
  <c r="A2038" i="33"/>
  <c r="A2039" i="33"/>
  <c r="A2040" i="33"/>
  <c r="A2041" i="33"/>
  <c r="A2042" i="33"/>
  <c r="A2043" i="33"/>
  <c r="A2044" i="33"/>
  <c r="A2045" i="33"/>
  <c r="A2046" i="33"/>
  <c r="A2047" i="33"/>
  <c r="A2048" i="33"/>
  <c r="A2049" i="33"/>
  <c r="A2050" i="33"/>
  <c r="A2051" i="33"/>
  <c r="A2052" i="33"/>
  <c r="A2053" i="33"/>
  <c r="A2054" i="33"/>
  <c r="A2055" i="33"/>
  <c r="A2056" i="33"/>
  <c r="A2057" i="33"/>
  <c r="A2058" i="33"/>
  <c r="A2059" i="33"/>
  <c r="A2060" i="33"/>
  <c r="A2061" i="33"/>
  <c r="A2062" i="33"/>
  <c r="A2063" i="33"/>
  <c r="A2064" i="33"/>
  <c r="A2065" i="33"/>
  <c r="A2066" i="33"/>
  <c r="A2067" i="33"/>
  <c r="A2068" i="33"/>
  <c r="A2069" i="33"/>
  <c r="A2070" i="33"/>
  <c r="A2071" i="33"/>
  <c r="A2072" i="33"/>
  <c r="A2073" i="33"/>
  <c r="A2074" i="33"/>
  <c r="A2075" i="33"/>
  <c r="A2076" i="33"/>
  <c r="A2077" i="33"/>
  <c r="A2078" i="33"/>
  <c r="A2079" i="33"/>
  <c r="A2080" i="33"/>
  <c r="A2081" i="33"/>
  <c r="A2082" i="33"/>
  <c r="A2083" i="33"/>
  <c r="A2084" i="33"/>
  <c r="A2085" i="33"/>
  <c r="A2086" i="33"/>
  <c r="A2087" i="33"/>
  <c r="A2088" i="33"/>
  <c r="A2089" i="33"/>
  <c r="A2090" i="33"/>
  <c r="A2091" i="33"/>
  <c r="A2092" i="33"/>
  <c r="A2093" i="33"/>
  <c r="A2094" i="33"/>
  <c r="A2095" i="33"/>
  <c r="A2096" i="33"/>
  <c r="A2097" i="33"/>
  <c r="A2098" i="33"/>
  <c r="A2099" i="33"/>
  <c r="A2100" i="33"/>
  <c r="A2101" i="33"/>
  <c r="A2102" i="33"/>
  <c r="A2103" i="33"/>
  <c r="A2104" i="33"/>
  <c r="A2105" i="33"/>
  <c r="A2106" i="33"/>
  <c r="A2107" i="33"/>
  <c r="A2108" i="33"/>
  <c r="A2109" i="33"/>
  <c r="A2110" i="33"/>
  <c r="A2111" i="33"/>
  <c r="A2112" i="33"/>
  <c r="A2113" i="33"/>
  <c r="A2114" i="33"/>
  <c r="A2115" i="33"/>
  <c r="A2116" i="33"/>
  <c r="A2117" i="33"/>
  <c r="A2118" i="33"/>
  <c r="A2119" i="33"/>
  <c r="A2120" i="33"/>
  <c r="A2121" i="33"/>
  <c r="A2122" i="33"/>
  <c r="A2123" i="33"/>
  <c r="A2124" i="33"/>
  <c r="A2125" i="33"/>
  <c r="A2126" i="33"/>
  <c r="A2127" i="33"/>
  <c r="A2128" i="33"/>
  <c r="A2129" i="33"/>
  <c r="A2130" i="33"/>
  <c r="A2131" i="33"/>
  <c r="A2132" i="33"/>
  <c r="A2133" i="33"/>
  <c r="A2134" i="33"/>
  <c r="A2135" i="33"/>
  <c r="A2136" i="33"/>
  <c r="A2137" i="33"/>
  <c r="A2138" i="33"/>
  <c r="A2139" i="33"/>
  <c r="A2140" i="33"/>
  <c r="A2141" i="33"/>
  <c r="A2142" i="33"/>
  <c r="A2143" i="33"/>
  <c r="A2144" i="33"/>
  <c r="A2145" i="33"/>
  <c r="A2146" i="33"/>
  <c r="A2147" i="33"/>
  <c r="A2148" i="33"/>
  <c r="A2149" i="33"/>
  <c r="A2150" i="33"/>
  <c r="A2151" i="33"/>
  <c r="A2152" i="33"/>
  <c r="A2153" i="33"/>
  <c r="A2154" i="33"/>
  <c r="A2155" i="33"/>
  <c r="A2156" i="33"/>
  <c r="A2157" i="33"/>
  <c r="A2158" i="33"/>
  <c r="A2159" i="33"/>
  <c r="A2160" i="33"/>
  <c r="A2161" i="33"/>
  <c r="A2162" i="33"/>
  <c r="A2163" i="33"/>
  <c r="A2164" i="33"/>
  <c r="A2165" i="33"/>
  <c r="A2166" i="33"/>
  <c r="A2167" i="33"/>
  <c r="A2168" i="33"/>
  <c r="A2169" i="33"/>
  <c r="A2170" i="33"/>
  <c r="A2171" i="33"/>
  <c r="A2172" i="33"/>
  <c r="A2173" i="33"/>
  <c r="A2174" i="33"/>
  <c r="A2175" i="33"/>
  <c r="A2176" i="33"/>
  <c r="A2177" i="33"/>
  <c r="A2178" i="33"/>
  <c r="A2179" i="33"/>
  <c r="A2180" i="33"/>
  <c r="A2181" i="33"/>
  <c r="A2182" i="33"/>
  <c r="A2183" i="33"/>
  <c r="A2184" i="33"/>
  <c r="A2185" i="33"/>
  <c r="A2186" i="33"/>
  <c r="A2187" i="33"/>
  <c r="A2188" i="33"/>
  <c r="A2" i="33"/>
  <c r="B29" i="22"/>
  <c r="B32" i="22"/>
  <c r="G11" i="19"/>
  <c r="G13" i="19"/>
  <c r="G15" i="19"/>
  <c r="G12" i="19"/>
  <c r="G39" i="19"/>
  <c r="B19" i="22"/>
  <c r="C21" i="34"/>
  <c r="G31" i="34"/>
  <c r="H31" i="34"/>
  <c r="I31" i="34"/>
  <c r="J31" i="34"/>
  <c r="K31" i="34"/>
  <c r="L31" i="34"/>
  <c r="B21" i="19"/>
  <c r="C37" i="34" s="1"/>
  <c r="M31" i="34"/>
  <c r="N31" i="34"/>
  <c r="D49" i="19"/>
  <c r="C33" i="34" s="1"/>
  <c r="F42" i="34" s="1"/>
  <c r="F46" i="34" s="1"/>
  <c r="BW63" i="30"/>
  <c r="AP1" i="4"/>
  <c r="AZ1" i="4"/>
  <c r="AR3" i="4" s="1"/>
  <c r="AQ3" i="4"/>
  <c r="AZ3" i="4"/>
  <c r="AS3" i="4"/>
  <c r="AU1" i="4"/>
  <c r="AZ2" i="4" s="1"/>
  <c r="AK1" i="4"/>
  <c r="Q6" i="4"/>
  <c r="B3" i="1"/>
  <c r="D3" i="1"/>
  <c r="E3" i="1" s="1"/>
  <c r="F3" i="1"/>
  <c r="B4" i="1"/>
  <c r="D4" i="1"/>
  <c r="E4" i="1" s="1"/>
  <c r="C29" i="34" s="1"/>
  <c r="F31" i="34" s="1"/>
  <c r="R31" i="34" s="1"/>
  <c r="F4" i="1"/>
  <c r="B5" i="1"/>
  <c r="D5" i="1"/>
  <c r="E5" i="1" s="1"/>
  <c r="F5" i="1"/>
  <c r="B6" i="1"/>
  <c r="D6" i="1"/>
  <c r="E6" i="1" s="1"/>
  <c r="F6" i="1"/>
  <c r="F33" i="1" s="1"/>
  <c r="B7" i="1"/>
  <c r="D7" i="1"/>
  <c r="D112" i="15"/>
  <c r="F7" i="1"/>
  <c r="F34" i="1" s="1"/>
  <c r="B8" i="1"/>
  <c r="D8" i="1"/>
  <c r="E8" i="1" s="1"/>
  <c r="F8" i="1"/>
  <c r="F35" i="1" s="1"/>
  <c r="C39" i="1"/>
  <c r="C40" i="1"/>
  <c r="C41" i="1"/>
  <c r="R38" i="30"/>
  <c r="Q38" i="30"/>
  <c r="Q49" i="30" s="1"/>
  <c r="P38" i="30"/>
  <c r="N38" i="30"/>
  <c r="N49" i="30" s="1"/>
  <c r="M38" i="30"/>
  <c r="L38" i="30"/>
  <c r="K38" i="30"/>
  <c r="I38" i="30"/>
  <c r="H38" i="30"/>
  <c r="G38" i="30"/>
  <c r="F38" i="30"/>
  <c r="F49" i="30" s="1"/>
  <c r="E38" i="30"/>
  <c r="E49" i="30" s="1"/>
  <c r="D38" i="30"/>
  <c r="J38" i="30"/>
  <c r="A3" i="15"/>
  <c r="A4" i="15"/>
  <c r="A5" i="15"/>
  <c r="A6" i="15"/>
  <c r="A7" i="15"/>
  <c r="A8" i="15"/>
  <c r="A9" i="15"/>
  <c r="A10" i="15"/>
  <c r="A11" i="15"/>
  <c r="A12" i="15"/>
  <c r="A13" i="15"/>
  <c r="A14" i="15"/>
  <c r="A15" i="15"/>
  <c r="A16" i="15"/>
  <c r="A17" i="15"/>
  <c r="A18" i="15"/>
  <c r="A19" i="15"/>
  <c r="A20" i="15"/>
  <c r="A21" i="15"/>
  <c r="A22" i="15"/>
  <c r="N3" i="15"/>
  <c r="N4" i="15"/>
  <c r="N5" i="15"/>
  <c r="N6" i="15"/>
  <c r="N7" i="15"/>
  <c r="N8" i="15"/>
  <c r="N9" i="15"/>
  <c r="N10" i="15"/>
  <c r="N11" i="15"/>
  <c r="N12" i="15"/>
  <c r="N13" i="15"/>
  <c r="N14" i="15"/>
  <c r="N15" i="15"/>
  <c r="N16" i="15"/>
  <c r="N17" i="15"/>
  <c r="N18" i="15"/>
  <c r="N19" i="15"/>
  <c r="N20" i="15"/>
  <c r="N21" i="15"/>
  <c r="N22" i="15"/>
  <c r="E21" i="15"/>
  <c r="E20" i="15"/>
  <c r="E19" i="15"/>
  <c r="E18" i="15"/>
  <c r="E17" i="15"/>
  <c r="E14" i="15"/>
  <c r="E13" i="15"/>
  <c r="E12" i="15"/>
  <c r="E11" i="15"/>
  <c r="E3" i="15"/>
  <c r="E4" i="15"/>
  <c r="E5" i="15"/>
  <c r="E6" i="15"/>
  <c r="E7" i="15"/>
  <c r="E8" i="15"/>
  <c r="E9" i="15"/>
  <c r="E10" i="15"/>
  <c r="C7" i="34"/>
  <c r="C20" i="34"/>
  <c r="F16" i="34"/>
  <c r="H16" i="34"/>
  <c r="I16" i="34"/>
  <c r="J16" i="34"/>
  <c r="K16" i="34"/>
  <c r="L16" i="34"/>
  <c r="M16" i="34"/>
  <c r="N16" i="34"/>
  <c r="O16" i="34"/>
  <c r="P16" i="34"/>
  <c r="Q16" i="34"/>
  <c r="R16" i="34"/>
  <c r="S16" i="34"/>
  <c r="T16" i="34"/>
  <c r="U16" i="34"/>
  <c r="A2" i="15"/>
  <c r="C14" i="34"/>
  <c r="F8" i="34"/>
  <c r="H8" i="34"/>
  <c r="I8" i="34"/>
  <c r="J8" i="34"/>
  <c r="K8" i="34"/>
  <c r="L8" i="34"/>
  <c r="M8" i="34"/>
  <c r="N8" i="34"/>
  <c r="O8" i="34"/>
  <c r="P8" i="34"/>
  <c r="Q8" i="34"/>
  <c r="R8" i="34"/>
  <c r="S8" i="34"/>
  <c r="T8" i="34"/>
  <c r="U8" i="34"/>
  <c r="J49" i="30"/>
  <c r="E2" i="15"/>
  <c r="N2" i="15"/>
  <c r="A25" i="15"/>
  <c r="E25" i="15"/>
  <c r="A26" i="15"/>
  <c r="E26" i="15"/>
  <c r="A27" i="15"/>
  <c r="E27" i="15"/>
  <c r="A28" i="15"/>
  <c r="E28" i="15"/>
  <c r="A29" i="15"/>
  <c r="E29" i="15"/>
  <c r="L32" i="15"/>
  <c r="E32" i="15"/>
  <c r="K32" i="15"/>
  <c r="N32" i="15"/>
  <c r="L33" i="15"/>
  <c r="E33" i="15"/>
  <c r="K33" i="15"/>
  <c r="N33" i="15"/>
  <c r="E34" i="15"/>
  <c r="K34" i="15"/>
  <c r="N34" i="15"/>
  <c r="E35" i="15"/>
  <c r="K35" i="15"/>
  <c r="N35" i="15"/>
  <c r="L36" i="15"/>
  <c r="E36" i="15"/>
  <c r="K36" i="15"/>
  <c r="N36" i="15"/>
  <c r="L37" i="15"/>
  <c r="E37" i="15"/>
  <c r="K37" i="15"/>
  <c r="N37" i="15"/>
  <c r="L38" i="15"/>
  <c r="E38" i="15"/>
  <c r="K38" i="15"/>
  <c r="N38" i="15"/>
  <c r="L39" i="15"/>
  <c r="E39" i="15"/>
  <c r="K39" i="15"/>
  <c r="N39" i="15"/>
  <c r="L40" i="15"/>
  <c r="E40" i="15"/>
  <c r="K40" i="15"/>
  <c r="N40" i="15"/>
  <c r="L41" i="15"/>
  <c r="E41" i="15"/>
  <c r="K41" i="15"/>
  <c r="N41" i="15"/>
  <c r="L42" i="15"/>
  <c r="E42" i="15"/>
  <c r="K42" i="15"/>
  <c r="N42" i="15"/>
  <c r="L43" i="15"/>
  <c r="E43" i="15"/>
  <c r="K43" i="15"/>
  <c r="N43" i="15"/>
  <c r="L44" i="15"/>
  <c r="E44" i="15"/>
  <c r="K44" i="15"/>
  <c r="N44" i="15"/>
  <c r="L45" i="15"/>
  <c r="E45" i="15"/>
  <c r="K45" i="15"/>
  <c r="N45" i="15"/>
  <c r="L46" i="15"/>
  <c r="E46" i="15"/>
  <c r="K46" i="15"/>
  <c r="N46" i="15"/>
  <c r="L47" i="15"/>
  <c r="E47" i="15"/>
  <c r="K47" i="15"/>
  <c r="N47" i="15"/>
  <c r="L48" i="15"/>
  <c r="E48" i="15"/>
  <c r="K48" i="15"/>
  <c r="N48" i="15"/>
  <c r="L49" i="15"/>
  <c r="E49" i="15"/>
  <c r="K49" i="15"/>
  <c r="N49" i="15"/>
  <c r="L50" i="15"/>
  <c r="E50" i="15"/>
  <c r="K50" i="15"/>
  <c r="N50" i="15"/>
  <c r="L51" i="15"/>
  <c r="E51" i="15"/>
  <c r="K51" i="15"/>
  <c r="N51" i="15"/>
  <c r="L52" i="15"/>
  <c r="E52" i="15"/>
  <c r="K52" i="15"/>
  <c r="N52" i="15"/>
  <c r="L53" i="15"/>
  <c r="E53" i="15"/>
  <c r="K53" i="15"/>
  <c r="N53" i="15"/>
  <c r="L54" i="15"/>
  <c r="E54" i="15"/>
  <c r="K54" i="15"/>
  <c r="N54" i="15"/>
  <c r="L55" i="15"/>
  <c r="E55" i="15"/>
  <c r="K55" i="15"/>
  <c r="N55" i="15"/>
  <c r="E56" i="15"/>
  <c r="K56" i="15"/>
  <c r="N56" i="15"/>
  <c r="E57" i="15"/>
  <c r="K57" i="15"/>
  <c r="N57" i="15"/>
  <c r="E58" i="15"/>
  <c r="K58" i="15"/>
  <c r="N58" i="15"/>
  <c r="E59" i="15"/>
  <c r="K59" i="15"/>
  <c r="N59" i="15"/>
  <c r="E60" i="15"/>
  <c r="K60" i="15"/>
  <c r="N60" i="15"/>
  <c r="E61" i="15"/>
  <c r="K61" i="15"/>
  <c r="N61" i="15"/>
  <c r="E62" i="15"/>
  <c r="K62" i="15"/>
  <c r="N62" i="15"/>
  <c r="E63" i="15"/>
  <c r="K63" i="15"/>
  <c r="N63" i="15"/>
  <c r="E64" i="15"/>
  <c r="K64" i="15"/>
  <c r="N64" i="15"/>
  <c r="E65" i="15"/>
  <c r="K65" i="15"/>
  <c r="N65" i="15"/>
  <c r="E66" i="15"/>
  <c r="K66" i="15"/>
  <c r="N66" i="15"/>
  <c r="E67" i="15"/>
  <c r="K67" i="15"/>
  <c r="N67" i="15"/>
  <c r="E68" i="15"/>
  <c r="K68" i="15"/>
  <c r="N68" i="15"/>
  <c r="L69" i="15"/>
  <c r="E69" i="15"/>
  <c r="K69" i="15"/>
  <c r="N69" i="15"/>
  <c r="L70" i="15"/>
  <c r="E70" i="15"/>
  <c r="K70" i="15"/>
  <c r="N70" i="15"/>
  <c r="L71" i="15"/>
  <c r="E71" i="15"/>
  <c r="K71" i="15"/>
  <c r="N71" i="15"/>
  <c r="L72" i="15"/>
  <c r="E72" i="15"/>
  <c r="K72" i="15"/>
  <c r="N72" i="15"/>
  <c r="L73" i="15"/>
  <c r="E73" i="15"/>
  <c r="K73" i="15"/>
  <c r="N73" i="15"/>
  <c r="L74" i="15"/>
  <c r="E74" i="15"/>
  <c r="K74" i="15"/>
  <c r="N74" i="15"/>
  <c r="L75" i="15"/>
  <c r="E75" i="15"/>
  <c r="K75" i="15"/>
  <c r="N75" i="15"/>
  <c r="L76" i="15"/>
  <c r="E76" i="15"/>
  <c r="K76" i="15"/>
  <c r="N76" i="15"/>
  <c r="L77" i="15"/>
  <c r="E77" i="15"/>
  <c r="K77" i="15"/>
  <c r="N77" i="15"/>
  <c r="L78" i="15"/>
  <c r="E78" i="15"/>
  <c r="K78" i="15"/>
  <c r="N78" i="15"/>
  <c r="L79" i="15"/>
  <c r="E79" i="15"/>
  <c r="K79" i="15"/>
  <c r="N79" i="15"/>
  <c r="L80" i="15"/>
  <c r="E80" i="15"/>
  <c r="K80" i="15"/>
  <c r="N80" i="15"/>
  <c r="L81" i="15"/>
  <c r="E81" i="15"/>
  <c r="K81" i="15"/>
  <c r="N81" i="15"/>
  <c r="L82" i="15"/>
  <c r="E82" i="15"/>
  <c r="K82" i="15"/>
  <c r="N82" i="15"/>
  <c r="L83" i="15"/>
  <c r="E83" i="15"/>
  <c r="K83" i="15"/>
  <c r="N83" i="15"/>
  <c r="L84" i="15"/>
  <c r="E84" i="15"/>
  <c r="K84" i="15"/>
  <c r="N84" i="15"/>
  <c r="L85" i="15"/>
  <c r="E85" i="15"/>
  <c r="K85" i="15"/>
  <c r="N85" i="15"/>
  <c r="L86" i="15"/>
  <c r="E86" i="15"/>
  <c r="K86" i="15"/>
  <c r="N86" i="15"/>
  <c r="L87" i="15"/>
  <c r="E87" i="15"/>
  <c r="K87" i="15"/>
  <c r="N87" i="15"/>
  <c r="L88" i="15"/>
  <c r="E88" i="15"/>
  <c r="K88" i="15"/>
  <c r="N88" i="15"/>
  <c r="L89" i="15"/>
  <c r="E89" i="15"/>
  <c r="K89" i="15"/>
  <c r="N89" i="15"/>
  <c r="L90" i="15"/>
  <c r="E90" i="15"/>
  <c r="K90" i="15"/>
  <c r="N90" i="15"/>
  <c r="L91" i="15"/>
  <c r="E91" i="15"/>
  <c r="K91" i="15"/>
  <c r="N91" i="15"/>
  <c r="L92" i="15"/>
  <c r="E92" i="15"/>
  <c r="K92" i="15"/>
  <c r="N92" i="15"/>
  <c r="L93" i="15"/>
  <c r="E93" i="15"/>
  <c r="K93" i="15"/>
  <c r="N93" i="15"/>
  <c r="L94" i="15"/>
  <c r="E94" i="15"/>
  <c r="K94" i="15"/>
  <c r="N94" i="15"/>
  <c r="L95" i="15"/>
  <c r="E95" i="15"/>
  <c r="K95" i="15"/>
  <c r="N95" i="15"/>
  <c r="L96" i="15"/>
  <c r="E96" i="15"/>
  <c r="K96" i="15"/>
  <c r="N96" i="15"/>
  <c r="L97" i="15"/>
  <c r="E97" i="15"/>
  <c r="K97" i="15"/>
  <c r="N97" i="15"/>
  <c r="L98" i="15"/>
  <c r="E98" i="15"/>
  <c r="K98" i="15"/>
  <c r="N98" i="15"/>
  <c r="L99" i="15"/>
  <c r="E99" i="15"/>
  <c r="K99" i="15"/>
  <c r="N99" i="15"/>
  <c r="L100" i="15"/>
  <c r="E100" i="15"/>
  <c r="K100" i="15"/>
  <c r="N100" i="15"/>
  <c r="L101" i="15"/>
  <c r="E101" i="15"/>
  <c r="K101" i="15"/>
  <c r="N101" i="15"/>
  <c r="L102" i="15"/>
  <c r="E102" i="15"/>
  <c r="K102" i="15"/>
  <c r="N102" i="15"/>
  <c r="A105" i="15"/>
  <c r="A106" i="15"/>
  <c r="A107" i="15"/>
  <c r="A108" i="15"/>
  <c r="A109" i="15"/>
  <c r="A115" i="15"/>
  <c r="A116" i="15"/>
  <c r="D49" i="1"/>
  <c r="D52" i="19"/>
  <c r="C36" i="1"/>
  <c r="D53" i="19"/>
  <c r="D43" i="1" s="1"/>
  <c r="D50" i="1"/>
  <c r="C9" i="1"/>
  <c r="C24" i="34"/>
  <c r="F29" i="34"/>
  <c r="C31" i="34"/>
  <c r="C9" i="34"/>
  <c r="F13" i="34"/>
  <c r="H13" i="34"/>
  <c r="I13" i="34"/>
  <c r="J13" i="34"/>
  <c r="K13" i="34"/>
  <c r="L13" i="34"/>
  <c r="M13" i="34"/>
  <c r="N13" i="34"/>
  <c r="O13" i="34"/>
  <c r="O31" i="34"/>
  <c r="P13" i="34"/>
  <c r="P31" i="34"/>
  <c r="Q13" i="34"/>
  <c r="Q31" i="34"/>
  <c r="R13" i="34"/>
  <c r="S13" i="34"/>
  <c r="S31" i="34"/>
  <c r="T13" i="34"/>
  <c r="T31" i="34"/>
  <c r="U13" i="34"/>
  <c r="U31" i="34"/>
  <c r="G8" i="34"/>
  <c r="C12" i="34"/>
  <c r="U10" i="34"/>
  <c r="G16" i="34"/>
  <c r="T10" i="34"/>
  <c r="S10" i="34"/>
  <c r="R10" i="34"/>
  <c r="Q10" i="34"/>
  <c r="P10" i="34"/>
  <c r="O10" i="34"/>
  <c r="N10" i="34"/>
  <c r="M10" i="34"/>
  <c r="L10" i="34"/>
  <c r="K10" i="34"/>
  <c r="J10" i="34"/>
  <c r="I10" i="34"/>
  <c r="H10" i="34"/>
  <c r="G10" i="34"/>
  <c r="C23" i="34"/>
  <c r="G13" i="34"/>
  <c r="F30" i="34"/>
  <c r="G26" i="25"/>
  <c r="G28" i="26"/>
  <c r="G26" i="26"/>
  <c r="F44" i="34"/>
  <c r="F43" i="34"/>
  <c r="G20" i="34"/>
  <c r="H20" i="34"/>
  <c r="I20" i="34"/>
  <c r="J20" i="34"/>
  <c r="K20" i="34"/>
  <c r="L20" i="34"/>
  <c r="M20" i="34"/>
  <c r="N20" i="34"/>
  <c r="O20" i="34"/>
  <c r="P20" i="34"/>
  <c r="Q20" i="34"/>
  <c r="R20" i="34"/>
  <c r="S20" i="34"/>
  <c r="T20" i="34"/>
  <c r="U20" i="34"/>
  <c r="F48" i="34"/>
  <c r="F47" i="34"/>
  <c r="C19" i="30"/>
  <c r="GA88" i="30" s="1"/>
  <c r="M7" i="4"/>
  <c r="M8" i="4"/>
  <c r="M9" i="4"/>
  <c r="M10" i="4"/>
  <c r="M11" i="4"/>
  <c r="M12" i="4"/>
  <c r="M13" i="4"/>
  <c r="M14" i="4"/>
  <c r="M15" i="4"/>
  <c r="M16" i="4"/>
  <c r="M17" i="4"/>
  <c r="M18" i="4"/>
  <c r="M19" i="4"/>
  <c r="M20" i="4"/>
  <c r="FZ63" i="30"/>
  <c r="FY63" i="30"/>
  <c r="FX63" i="30"/>
  <c r="FW63" i="30"/>
  <c r="FV63" i="30"/>
  <c r="FU63" i="30"/>
  <c r="FT63" i="30"/>
  <c r="FS63" i="30"/>
  <c r="FR63" i="30"/>
  <c r="FQ63" i="30"/>
  <c r="FP63" i="30"/>
  <c r="FO63" i="30"/>
  <c r="FN63" i="30"/>
  <c r="FM63" i="30"/>
  <c r="FL63" i="30"/>
  <c r="FK63" i="30"/>
  <c r="FJ63" i="30"/>
  <c r="FI63" i="30"/>
  <c r="FH63" i="30"/>
  <c r="FG63" i="30"/>
  <c r="FF63" i="30"/>
  <c r="FE63" i="30"/>
  <c r="FD63" i="30"/>
  <c r="FC63" i="30"/>
  <c r="FB63" i="30"/>
  <c r="FA63" i="30"/>
  <c r="EZ63" i="30"/>
  <c r="EY63" i="30"/>
  <c r="EX63" i="30"/>
  <c r="EW63" i="30"/>
  <c r="EV63" i="30"/>
  <c r="EU63" i="30"/>
  <c r="ET63" i="30"/>
  <c r="ES63" i="30"/>
  <c r="ER63" i="30"/>
  <c r="EQ63" i="30"/>
  <c r="EP63" i="30"/>
  <c r="EO63" i="30"/>
  <c r="EN63" i="30"/>
  <c r="EM63" i="30"/>
  <c r="EL63" i="30"/>
  <c r="EK63" i="30"/>
  <c r="EJ63" i="30"/>
  <c r="EI63" i="30"/>
  <c r="EH63" i="30"/>
  <c r="EG63" i="30"/>
  <c r="EF63" i="30"/>
  <c r="EE63" i="30"/>
  <c r="ED63" i="30"/>
  <c r="EC63" i="30"/>
  <c r="EB63" i="30"/>
  <c r="EA63" i="30"/>
  <c r="DZ63" i="30"/>
  <c r="DY63" i="30"/>
  <c r="DX63" i="30"/>
  <c r="DW63" i="30"/>
  <c r="DV63" i="30"/>
  <c r="DU63" i="30"/>
  <c r="DT63" i="30"/>
  <c r="DR63" i="30"/>
  <c r="DQ63" i="30"/>
  <c r="DP63" i="30"/>
  <c r="DO63" i="30"/>
  <c r="DN63" i="30"/>
  <c r="DM63" i="30"/>
  <c r="DL63" i="30"/>
  <c r="DK63" i="30"/>
  <c r="DJ63" i="30"/>
  <c r="DI63" i="30"/>
  <c r="DH63" i="30"/>
  <c r="DG63" i="30"/>
  <c r="DF63" i="30"/>
  <c r="DE63" i="30"/>
  <c r="DD63" i="30"/>
  <c r="DC63" i="30"/>
  <c r="DB63" i="30"/>
  <c r="DA63" i="30"/>
  <c r="CZ63" i="30"/>
  <c r="CY63" i="30"/>
  <c r="CX63" i="30"/>
  <c r="CW63" i="30"/>
  <c r="CV63" i="30"/>
  <c r="CU63" i="30"/>
  <c r="CT63" i="30"/>
  <c r="CS63" i="30"/>
  <c r="CR63" i="30"/>
  <c r="CQ63" i="30"/>
  <c r="CP63" i="30"/>
  <c r="CO63" i="30"/>
  <c r="CN63" i="30"/>
  <c r="CM63" i="30"/>
  <c r="CL63" i="30"/>
  <c r="CK63" i="30"/>
  <c r="CJ63" i="30"/>
  <c r="CI63" i="30"/>
  <c r="CH63" i="30"/>
  <c r="CG63" i="30"/>
  <c r="CF63" i="30"/>
  <c r="CE63" i="30"/>
  <c r="CD63" i="30"/>
  <c r="CC63" i="30"/>
  <c r="CB63" i="30"/>
  <c r="CA63" i="30"/>
  <c r="BZ63" i="30"/>
  <c r="BY63" i="30"/>
  <c r="BX63" i="30"/>
  <c r="BV63" i="30"/>
  <c r="BU63" i="30"/>
  <c r="BT63" i="30"/>
  <c r="BS63" i="30"/>
  <c r="BR63" i="30"/>
  <c r="BQ63" i="30"/>
  <c r="BP63" i="30"/>
  <c r="BO63" i="30"/>
  <c r="BN63" i="30"/>
  <c r="BM63" i="30"/>
  <c r="BL63" i="30"/>
  <c r="BK63" i="30"/>
  <c r="E118" i="26"/>
  <c r="E117" i="26"/>
  <c r="E116" i="26"/>
  <c r="E115" i="26"/>
  <c r="E113" i="26"/>
  <c r="E112" i="26"/>
  <c r="E111" i="26"/>
  <c r="E110" i="26"/>
  <c r="E109" i="26"/>
  <c r="E108" i="26"/>
  <c r="E107" i="26"/>
  <c r="E106" i="26"/>
  <c r="E105" i="26"/>
  <c r="E118" i="25"/>
  <c r="E117" i="25"/>
  <c r="E116" i="25"/>
  <c r="E115" i="25"/>
  <c r="E113" i="25"/>
  <c r="E112" i="25"/>
  <c r="E111" i="25"/>
  <c r="E110" i="25"/>
  <c r="E109" i="25"/>
  <c r="E108" i="25"/>
  <c r="E107" i="25"/>
  <c r="E106" i="25"/>
  <c r="E105" i="25"/>
  <c r="R18" i="32"/>
  <c r="R17" i="32"/>
  <c r="R16" i="32"/>
  <c r="R15" i="32"/>
  <c r="R13" i="32"/>
  <c r="R12" i="32"/>
  <c r="R11" i="32"/>
  <c r="R10" i="32"/>
  <c r="R9" i="32"/>
  <c r="R8" i="32"/>
  <c r="R7" i="32"/>
  <c r="R6" i="32"/>
  <c r="R5" i="32"/>
  <c r="GA85" i="30"/>
  <c r="FZ85" i="30"/>
  <c r="FY85" i="30"/>
  <c r="FX85" i="30"/>
  <c r="FW85" i="30"/>
  <c r="FV85" i="30"/>
  <c r="FU85" i="30"/>
  <c r="FT85" i="30"/>
  <c r="FS85" i="30"/>
  <c r="FR85" i="30"/>
  <c r="FQ85" i="30"/>
  <c r="FP85" i="30"/>
  <c r="FO85" i="30"/>
  <c r="FN85" i="30"/>
  <c r="FM85" i="30"/>
  <c r="FL85" i="30"/>
  <c r="FK85" i="30"/>
  <c r="FJ85" i="30"/>
  <c r="FI85" i="30"/>
  <c r="FH85" i="30"/>
  <c r="FG85" i="30"/>
  <c r="FF85" i="30"/>
  <c r="FE85" i="30"/>
  <c r="FD85" i="30"/>
  <c r="FC85" i="30"/>
  <c r="FB85" i="30"/>
  <c r="FA85" i="30"/>
  <c r="EZ85" i="30"/>
  <c r="EY85" i="30"/>
  <c r="EX85" i="30"/>
  <c r="EW85" i="30"/>
  <c r="EV85" i="30"/>
  <c r="EU85" i="30"/>
  <c r="ET85" i="30"/>
  <c r="ES85" i="30"/>
  <c r="ER85" i="30"/>
  <c r="EQ85" i="30"/>
  <c r="EP85" i="30"/>
  <c r="EO85" i="30"/>
  <c r="EN85" i="30"/>
  <c r="EM85" i="30"/>
  <c r="EL85" i="30"/>
  <c r="EK85" i="30"/>
  <c r="EJ85" i="30"/>
  <c r="EI85" i="30"/>
  <c r="EH85" i="30"/>
  <c r="EG85" i="30"/>
  <c r="EF85" i="30"/>
  <c r="EE85" i="30"/>
  <c r="ED85" i="30"/>
  <c r="EC85" i="30"/>
  <c r="EB85" i="30"/>
  <c r="EA85" i="30"/>
  <c r="DZ85" i="30"/>
  <c r="DY85" i="30"/>
  <c r="DX85" i="30"/>
  <c r="DW85" i="30"/>
  <c r="DV85" i="30"/>
  <c r="DU85" i="30"/>
  <c r="DT85" i="30"/>
  <c r="DS85" i="30"/>
  <c r="DR85" i="30"/>
  <c r="DQ85" i="30"/>
  <c r="DP85" i="30"/>
  <c r="DO85" i="30"/>
  <c r="DN85" i="30"/>
  <c r="DM85" i="30"/>
  <c r="DL85" i="30"/>
  <c r="DK85" i="30"/>
  <c r="DJ85" i="30"/>
  <c r="DI85" i="30"/>
  <c r="DH85" i="30"/>
  <c r="DG85" i="30"/>
  <c r="DF85" i="30"/>
  <c r="DE85" i="30"/>
  <c r="DD85" i="30"/>
  <c r="DC85" i="30"/>
  <c r="DB85" i="30"/>
  <c r="DA85" i="30"/>
  <c r="CZ85" i="30"/>
  <c r="CY85" i="30"/>
  <c r="CX85" i="30"/>
  <c r="CW85" i="30"/>
  <c r="CV85" i="30"/>
  <c r="CU85" i="30"/>
  <c r="CT85" i="30"/>
  <c r="CS85" i="30"/>
  <c r="CR85" i="30"/>
  <c r="CQ85" i="30"/>
  <c r="CP85" i="30"/>
  <c r="CO85" i="30"/>
  <c r="CN85" i="30"/>
  <c r="CM85" i="30"/>
  <c r="CL85" i="30"/>
  <c r="CK85" i="30"/>
  <c r="CJ85" i="30"/>
  <c r="CI85" i="30"/>
  <c r="CH85" i="30"/>
  <c r="CG85" i="30"/>
  <c r="CF85" i="30"/>
  <c r="CE85" i="30"/>
  <c r="CD85" i="30"/>
  <c r="CC85" i="30"/>
  <c r="CB85" i="30"/>
  <c r="CA85" i="30"/>
  <c r="BZ85" i="30"/>
  <c r="BY85" i="30"/>
  <c r="BX85" i="30"/>
  <c r="BW85" i="30"/>
  <c r="D8" i="32"/>
  <c r="D7" i="32"/>
  <c r="D6" i="32"/>
  <c r="D9" i="32"/>
  <c r="D5" i="32"/>
  <c r="D4" i="32"/>
  <c r="G40" i="19"/>
  <c r="E104" i="25" s="1"/>
  <c r="B28" i="22"/>
  <c r="L19" i="32"/>
  <c r="L18" i="32"/>
  <c r="L17" i="32"/>
  <c r="L16" i="32"/>
  <c r="L15" i="32"/>
  <c r="L14" i="32"/>
  <c r="L13" i="32"/>
  <c r="L12" i="32"/>
  <c r="L11" i="32"/>
  <c r="L10" i="32"/>
  <c r="L9" i="32"/>
  <c r="L8" i="32"/>
  <c r="L7" i="32"/>
  <c r="L6" i="32"/>
  <c r="L5" i="32"/>
  <c r="AZ4" i="4"/>
  <c r="G5" i="26"/>
  <c r="G59" i="26" s="1"/>
  <c r="G5" i="25"/>
  <c r="G59" i="25" s="1"/>
  <c r="C8" i="31"/>
  <c r="K30" i="9"/>
  <c r="K31" i="9" s="1"/>
  <c r="J30" i="9"/>
  <c r="J2" i="9" s="1"/>
  <c r="J1" i="9" s="1"/>
  <c r="I30" i="9"/>
  <c r="I31" i="9" s="1"/>
  <c r="H30" i="9"/>
  <c r="H2" i="9" s="1"/>
  <c r="G30" i="9"/>
  <c r="G31" i="9" s="1"/>
  <c r="F30" i="9"/>
  <c r="F31" i="9" s="1"/>
  <c r="E30" i="9"/>
  <c r="E2" i="9" s="1"/>
  <c r="D30" i="9"/>
  <c r="D2" i="9" s="1"/>
  <c r="C30" i="9"/>
  <c r="C2" i="9" s="1"/>
  <c r="AL14" i="32" s="1"/>
  <c r="C31" i="9"/>
  <c r="C34" i="9" s="1"/>
  <c r="B30" i="9"/>
  <c r="B31" i="9" s="1"/>
  <c r="M30" i="9"/>
  <c r="M31" i="9"/>
  <c r="M34" i="9" s="1"/>
  <c r="F23" i="9"/>
  <c r="N23" i="9" s="1"/>
  <c r="O23" i="9" s="1"/>
  <c r="F20" i="9"/>
  <c r="N20" i="9" s="1"/>
  <c r="F17" i="9"/>
  <c r="F26" i="9"/>
  <c r="N26" i="9" s="1"/>
  <c r="O26" i="9" s="1"/>
  <c r="F14" i="9"/>
  <c r="F11" i="9"/>
  <c r="F8" i="9"/>
  <c r="I2" i="9"/>
  <c r="M2" i="9"/>
  <c r="B2" i="9"/>
  <c r="G2" i="9"/>
  <c r="G1" i="9"/>
  <c r="P91" i="29"/>
  <c r="P90" i="29"/>
  <c r="P89" i="29"/>
  <c r="P88" i="29"/>
  <c r="P77" i="29"/>
  <c r="P76" i="29"/>
  <c r="P75" i="29"/>
  <c r="P74" i="29"/>
  <c r="P63" i="29"/>
  <c r="P62" i="29"/>
  <c r="P61" i="29"/>
  <c r="P60" i="29"/>
  <c r="P98" i="29"/>
  <c r="P96" i="29"/>
  <c r="P95" i="29"/>
  <c r="P84" i="29"/>
  <c r="P82" i="29"/>
  <c r="P81" i="29"/>
  <c r="P70" i="29"/>
  <c r="P68" i="29"/>
  <c r="P67" i="29"/>
  <c r="P56" i="29"/>
  <c r="P54" i="29"/>
  <c r="P53" i="29"/>
  <c r="P48" i="29"/>
  <c r="P49" i="29"/>
  <c r="P47" i="29"/>
  <c r="P46" i="29"/>
  <c r="P42" i="29"/>
  <c r="P40" i="29"/>
  <c r="P39" i="29"/>
  <c r="P35" i="29"/>
  <c r="P33" i="29"/>
  <c r="P32" i="29"/>
  <c r="P28" i="29"/>
  <c r="P26" i="29"/>
  <c r="P25" i="29"/>
  <c r="P21" i="29"/>
  <c r="P19" i="29"/>
  <c r="P18" i="29"/>
  <c r="P14" i="29"/>
  <c r="P12" i="29"/>
  <c r="P11" i="29"/>
  <c r="AT4" i="4"/>
  <c r="P7" i="29"/>
  <c r="P5" i="29"/>
  <c r="P4" i="29"/>
  <c r="P9" i="18"/>
  <c r="O20" i="9"/>
  <c r="R43" i="9"/>
  <c r="S43" i="9"/>
  <c r="G4" i="25"/>
  <c r="G58" i="25" s="1"/>
  <c r="M2" i="18"/>
  <c r="L2" i="18"/>
  <c r="K2" i="18"/>
  <c r="J2" i="18"/>
  <c r="I2" i="18"/>
  <c r="H2" i="18"/>
  <c r="H4" i="18" s="1"/>
  <c r="G2" i="18"/>
  <c r="F2" i="18"/>
  <c r="E2" i="18"/>
  <c r="D2" i="18"/>
  <c r="D4" i="18" s="1"/>
  <c r="C2" i="18"/>
  <c r="N2" i="18"/>
  <c r="N4" i="18" s="1"/>
  <c r="E4" i="18"/>
  <c r="E1" i="18"/>
  <c r="I4" i="18"/>
  <c r="M4" i="18"/>
  <c r="F4" i="18"/>
  <c r="J4" i="18"/>
  <c r="C4" i="18"/>
  <c r="G4" i="18"/>
  <c r="K4" i="18"/>
  <c r="L4" i="18"/>
  <c r="Z9" i="32"/>
  <c r="A101" i="26"/>
  <c r="A101" i="25"/>
  <c r="G57" i="25"/>
  <c r="G57" i="26"/>
  <c r="Q2" i="33"/>
  <c r="Z10" i="32"/>
  <c r="AF4" i="32"/>
  <c r="R45" i="9"/>
  <c r="S45" i="9"/>
  <c r="T45" i="9"/>
  <c r="U45" i="9"/>
  <c r="V45" i="9"/>
  <c r="W45" i="9"/>
  <c r="X45" i="9"/>
  <c r="Y45" i="9"/>
  <c r="Z45" i="9"/>
  <c r="AA45" i="9"/>
  <c r="AB45" i="9"/>
  <c r="AC45" i="9"/>
  <c r="R41" i="9"/>
  <c r="S41" i="9"/>
  <c r="T41" i="9"/>
  <c r="U41" i="9"/>
  <c r="V41" i="9"/>
  <c r="W41" i="9"/>
  <c r="X41" i="9"/>
  <c r="Y41" i="9"/>
  <c r="Z41" i="9"/>
  <c r="AA41" i="9"/>
  <c r="AB41" i="9"/>
  <c r="AC41" i="9"/>
  <c r="R42" i="9"/>
  <c r="S42" i="9"/>
  <c r="T42" i="9"/>
  <c r="U42" i="9"/>
  <c r="V42" i="9"/>
  <c r="W42" i="9"/>
  <c r="X42" i="9"/>
  <c r="Y42" i="9"/>
  <c r="Z42" i="9"/>
  <c r="AA42" i="9"/>
  <c r="AB42" i="9"/>
  <c r="AC42" i="9"/>
  <c r="T43" i="9"/>
  <c r="U43" i="9"/>
  <c r="V43" i="9"/>
  <c r="W43" i="9"/>
  <c r="X43" i="9"/>
  <c r="Y43" i="9"/>
  <c r="Z43" i="9"/>
  <c r="AA43" i="9"/>
  <c r="AB43" i="9"/>
  <c r="AC43" i="9"/>
  <c r="R44" i="9"/>
  <c r="S44" i="9"/>
  <c r="T44" i="9"/>
  <c r="U44" i="9"/>
  <c r="V44" i="9"/>
  <c r="W44" i="9"/>
  <c r="X44" i="9"/>
  <c r="Y44" i="9"/>
  <c r="Z44" i="9"/>
  <c r="AA44" i="9"/>
  <c r="AB44" i="9"/>
  <c r="AC44" i="9"/>
  <c r="AC40" i="9"/>
  <c r="AB40" i="9"/>
  <c r="AA40" i="9"/>
  <c r="Z40" i="9"/>
  <c r="Y40" i="9"/>
  <c r="X40" i="9"/>
  <c r="W40" i="9"/>
  <c r="V40" i="9"/>
  <c r="U40" i="9"/>
  <c r="T40" i="9"/>
  <c r="S40" i="9"/>
  <c r="R40" i="9"/>
  <c r="AF9" i="32"/>
  <c r="AF5" i="32"/>
  <c r="AF11" i="32"/>
  <c r="AF10" i="32"/>
  <c r="AF14" i="32"/>
  <c r="AF12" i="32"/>
  <c r="AF6" i="32"/>
  <c r="AF15" i="32"/>
  <c r="AF8" i="32"/>
  <c r="AF13" i="32"/>
  <c r="AF7" i="32"/>
  <c r="L30" i="9"/>
  <c r="L2" i="9" s="1"/>
  <c r="B21" i="22"/>
  <c r="F8" i="4" s="1"/>
  <c r="T8" i="4" s="1"/>
  <c r="AF19" i="32"/>
  <c r="AL13" i="32"/>
  <c r="L31" i="9"/>
  <c r="L36" i="9" s="1"/>
  <c r="L34" i="9"/>
  <c r="B10" i="19"/>
  <c r="L3" i="32"/>
  <c r="C16" i="30"/>
  <c r="Q34" i="15"/>
  <c r="Q32" i="15"/>
  <c r="Q33" i="15"/>
  <c r="R106" i="15"/>
  <c r="R105" i="15"/>
  <c r="B17" i="19"/>
  <c r="G38" i="19"/>
  <c r="G43" i="19"/>
  <c r="G44" i="19" s="1"/>
  <c r="G64" i="26"/>
  <c r="G65" i="26"/>
  <c r="D31" i="17"/>
  <c r="D32" i="17"/>
  <c r="D33" i="17"/>
  <c r="D34" i="17"/>
  <c r="D35" i="17"/>
  <c r="D36" i="17"/>
  <c r="D30" i="17"/>
  <c r="G70" i="25"/>
  <c r="BE3" i="4"/>
  <c r="BD3" i="4"/>
  <c r="BC3" i="4"/>
  <c r="G58" i="26"/>
  <c r="D30" i="1"/>
  <c r="F31" i="1"/>
  <c r="F32" i="1"/>
  <c r="C12" i="1"/>
  <c r="C13" i="1"/>
  <c r="C14" i="1"/>
  <c r="B18" i="19"/>
  <c r="AH3" i="4"/>
  <c r="AH2" i="4"/>
  <c r="AI3" i="4"/>
  <c r="AI2" i="4"/>
  <c r="C5" i="31"/>
  <c r="C11" i="31"/>
  <c r="C10" i="31"/>
  <c r="C9" i="31"/>
  <c r="C19" i="31"/>
  <c r="C24" i="31"/>
  <c r="C18" i="31"/>
  <c r="GA57" i="30"/>
  <c r="FZ57" i="30"/>
  <c r="FY57" i="30"/>
  <c r="FX57" i="30"/>
  <c r="FW57" i="30"/>
  <c r="FV57" i="30"/>
  <c r="FU57" i="30"/>
  <c r="FT57" i="30"/>
  <c r="FS57" i="30"/>
  <c r="FR57" i="30"/>
  <c r="FQ57" i="30"/>
  <c r="FP57" i="30"/>
  <c r="FO57" i="30"/>
  <c r="FN57" i="30"/>
  <c r="FM57" i="30"/>
  <c r="FL57" i="30"/>
  <c r="FK57" i="30"/>
  <c r="FJ57" i="30"/>
  <c r="FI57" i="30"/>
  <c r="FH57" i="30"/>
  <c r="FG57" i="30"/>
  <c r="FF57" i="30"/>
  <c r="FE57" i="30"/>
  <c r="FD57" i="30"/>
  <c r="FC57" i="30"/>
  <c r="FB57" i="30"/>
  <c r="FA57" i="30"/>
  <c r="EZ57" i="30"/>
  <c r="EY57" i="30"/>
  <c r="EX57" i="30"/>
  <c r="EW57" i="30"/>
  <c r="EV57" i="30"/>
  <c r="EU57" i="30"/>
  <c r="ET57" i="30"/>
  <c r="ES57" i="30"/>
  <c r="ER57" i="30"/>
  <c r="EQ57" i="30"/>
  <c r="EP57" i="30"/>
  <c r="EO57" i="30"/>
  <c r="EN57" i="30"/>
  <c r="EM57" i="30"/>
  <c r="EL57" i="30"/>
  <c r="EK57" i="30"/>
  <c r="EJ57" i="30"/>
  <c r="EI57" i="30"/>
  <c r="EH57" i="30"/>
  <c r="EG57" i="30"/>
  <c r="EF57" i="30"/>
  <c r="EE57" i="30"/>
  <c r="ED57" i="30"/>
  <c r="EC57" i="30"/>
  <c r="EB57" i="30"/>
  <c r="EA57" i="30"/>
  <c r="DZ57" i="30"/>
  <c r="DY57" i="30"/>
  <c r="DX57" i="30"/>
  <c r="DW57" i="30"/>
  <c r="DV57" i="30"/>
  <c r="DU57" i="30"/>
  <c r="DT57" i="30"/>
  <c r="DS57" i="30"/>
  <c r="DR57" i="30"/>
  <c r="DQ57" i="30"/>
  <c r="DP57" i="30"/>
  <c r="DO57" i="30"/>
  <c r="DN57" i="30"/>
  <c r="DM57" i="30"/>
  <c r="DL57" i="30"/>
  <c r="DK57" i="30"/>
  <c r="DJ57" i="30"/>
  <c r="DI57" i="30"/>
  <c r="DH57" i="30"/>
  <c r="DG57" i="30"/>
  <c r="DF57" i="30"/>
  <c r="DE57" i="30"/>
  <c r="DD57" i="30"/>
  <c r="DC57" i="30"/>
  <c r="DB57" i="30"/>
  <c r="DA57" i="30"/>
  <c r="CZ57" i="30"/>
  <c r="CY57" i="30"/>
  <c r="CX57" i="30"/>
  <c r="CW57" i="30"/>
  <c r="CV57" i="30"/>
  <c r="CU57" i="30"/>
  <c r="CT57" i="30"/>
  <c r="CS57" i="30"/>
  <c r="CR57" i="30"/>
  <c r="CQ57" i="30"/>
  <c r="CP57" i="30"/>
  <c r="CO57" i="30"/>
  <c r="CN57" i="30"/>
  <c r="CM57" i="30"/>
  <c r="CL57" i="30"/>
  <c r="CK57" i="30"/>
  <c r="CJ57" i="30"/>
  <c r="CI57" i="30"/>
  <c r="CH57" i="30"/>
  <c r="CG57" i="30"/>
  <c r="CF57" i="30"/>
  <c r="CE57" i="30"/>
  <c r="CD57" i="30"/>
  <c r="CC57" i="30"/>
  <c r="CB57" i="30"/>
  <c r="CA57" i="30"/>
  <c r="BZ57" i="30"/>
  <c r="BY57" i="30"/>
  <c r="BX57" i="30"/>
  <c r="BW57" i="30"/>
  <c r="BV57" i="30"/>
  <c r="BU57" i="30"/>
  <c r="BT57" i="30"/>
  <c r="BS57" i="30"/>
  <c r="BR57" i="30"/>
  <c r="BQ57" i="30"/>
  <c r="BP57" i="30"/>
  <c r="BO57" i="30"/>
  <c r="BN57" i="30"/>
  <c r="BM57" i="30"/>
  <c r="BL57" i="30"/>
  <c r="BK57" i="30"/>
  <c r="BJ57" i="30"/>
  <c r="BI57" i="30"/>
  <c r="BH57" i="30"/>
  <c r="BG57" i="30"/>
  <c r="BF57" i="30"/>
  <c r="BE57" i="30"/>
  <c r="BD57" i="30"/>
  <c r="BC57" i="30"/>
  <c r="BB57" i="30"/>
  <c r="BA57" i="30"/>
  <c r="AZ57" i="30"/>
  <c r="AY57" i="30"/>
  <c r="AX57" i="30"/>
  <c r="AW57" i="30"/>
  <c r="AV57" i="30"/>
  <c r="AU57" i="30"/>
  <c r="AT57" i="30"/>
  <c r="AS57" i="30"/>
  <c r="AR57" i="30"/>
  <c r="AQ57" i="30"/>
  <c r="AP57" i="30"/>
  <c r="AO57" i="30"/>
  <c r="AN57" i="30"/>
  <c r="AM57" i="30"/>
  <c r="AL57" i="30"/>
  <c r="AK57" i="30"/>
  <c r="AJ57" i="30"/>
  <c r="AI57" i="30"/>
  <c r="AH57" i="30"/>
  <c r="AG57" i="30"/>
  <c r="AF57" i="30"/>
  <c r="AE57" i="30"/>
  <c r="AD57" i="30"/>
  <c r="AC57" i="30"/>
  <c r="AB57" i="30"/>
  <c r="AA57" i="30"/>
  <c r="Z57" i="30"/>
  <c r="Y57" i="30"/>
  <c r="X57" i="30"/>
  <c r="W57" i="30"/>
  <c r="V57" i="30"/>
  <c r="U57" i="30"/>
  <c r="T57" i="30"/>
  <c r="S57" i="30"/>
  <c r="R57" i="30"/>
  <c r="Q57" i="30"/>
  <c r="P57" i="30"/>
  <c r="O57" i="30"/>
  <c r="N57" i="30"/>
  <c r="M57" i="30"/>
  <c r="L57" i="30"/>
  <c r="K57" i="30"/>
  <c r="J57" i="30"/>
  <c r="I57" i="30"/>
  <c r="H57" i="30"/>
  <c r="G57" i="30"/>
  <c r="F57" i="30"/>
  <c r="E57" i="30"/>
  <c r="D57" i="30"/>
  <c r="C57" i="30"/>
  <c r="C58" i="30"/>
  <c r="D58" i="30" s="1"/>
  <c r="E24" i="25"/>
  <c r="Q35" i="15"/>
  <c r="G60" i="25"/>
  <c r="G61" i="25"/>
  <c r="G70" i="26"/>
  <c r="E24" i="26"/>
  <c r="G61" i="26"/>
  <c r="G60" i="26"/>
  <c r="F37" i="1"/>
  <c r="B54" i="1"/>
  <c r="B53" i="1"/>
  <c r="B52" i="1"/>
  <c r="B51" i="1"/>
  <c r="B50" i="1"/>
  <c r="B49" i="1"/>
  <c r="B48" i="1"/>
  <c r="B47" i="1"/>
  <c r="A30" i="1"/>
  <c r="B30" i="1"/>
  <c r="B31" i="1"/>
  <c r="B32" i="1"/>
  <c r="B33" i="1"/>
  <c r="B34" i="1"/>
  <c r="B35" i="1"/>
  <c r="B37" i="1"/>
  <c r="B39" i="1"/>
  <c r="B40" i="1"/>
  <c r="B41" i="1"/>
  <c r="B42" i="1"/>
  <c r="B43" i="1"/>
  <c r="B44" i="1"/>
  <c r="B46" i="1"/>
  <c r="A5" i="4"/>
  <c r="A6" i="4"/>
  <c r="A7" i="4"/>
  <c r="A8" i="4"/>
  <c r="A9" i="4"/>
  <c r="A10" i="4"/>
  <c r="A11" i="4"/>
  <c r="A12" i="4"/>
  <c r="A13" i="4"/>
  <c r="A14" i="4"/>
  <c r="A15" i="4"/>
  <c r="A16" i="4"/>
  <c r="A17" i="4"/>
  <c r="A18" i="4"/>
  <c r="A19" i="4"/>
  <c r="A20" i="4"/>
  <c r="CC88" i="30"/>
  <c r="EC88" i="30"/>
  <c r="FY88" i="30"/>
  <c r="CA88" i="30"/>
  <c r="CE88" i="30"/>
  <c r="CM88" i="30"/>
  <c r="CQ88" i="30"/>
  <c r="CY88" i="30"/>
  <c r="DC88" i="30"/>
  <c r="DK88" i="30"/>
  <c r="DO88" i="30"/>
  <c r="DW88" i="30"/>
  <c r="EA88" i="30"/>
  <c r="EI88" i="30"/>
  <c r="EM88" i="30"/>
  <c r="EU88" i="30"/>
  <c r="EY88" i="30"/>
  <c r="FG88" i="30"/>
  <c r="FK88" i="30"/>
  <c r="FS88" i="30"/>
  <c r="FW88" i="30"/>
  <c r="CB88" i="30"/>
  <c r="CR88" i="30"/>
  <c r="CZ88" i="30"/>
  <c r="DH88" i="30"/>
  <c r="DP88" i="30"/>
  <c r="DX88" i="30"/>
  <c r="EF88" i="30"/>
  <c r="EJ88" i="30"/>
  <c r="EN88" i="30"/>
  <c r="EV88" i="30"/>
  <c r="EZ88" i="30"/>
  <c r="FD88" i="30"/>
  <c r="FH88" i="30"/>
  <c r="FL88" i="30"/>
  <c r="FP88" i="30"/>
  <c r="FT88" i="30"/>
  <c r="FX88" i="30"/>
  <c r="CF88" i="30"/>
  <c r="BY88" i="30"/>
  <c r="CG88" i="30"/>
  <c r="CK88" i="30"/>
  <c r="CO88" i="30"/>
  <c r="CS88" i="30"/>
  <c r="CW88" i="30"/>
  <c r="DA88" i="30"/>
  <c r="DE88" i="30"/>
  <c r="DI88" i="30"/>
  <c r="DM88" i="30"/>
  <c r="DQ88" i="30"/>
  <c r="DU88" i="30"/>
  <c r="DY88" i="30"/>
  <c r="EG88" i="30"/>
  <c r="EK88" i="30"/>
  <c r="EO88" i="30"/>
  <c r="ES88" i="30"/>
  <c r="EW88" i="30"/>
  <c r="FA88" i="30"/>
  <c r="FE88" i="30"/>
  <c r="FI88" i="30"/>
  <c r="FM88" i="30"/>
  <c r="FQ88" i="30"/>
  <c r="FU88" i="30"/>
  <c r="BX88" i="30"/>
  <c r="CJ88" i="30"/>
  <c r="CN88" i="30"/>
  <c r="CV88" i="30"/>
  <c r="DD88" i="30"/>
  <c r="DL88" i="30"/>
  <c r="DT88" i="30"/>
  <c r="EB88" i="30"/>
  <c r="ER88" i="30"/>
  <c r="BZ88" i="30"/>
  <c r="CD88" i="30"/>
  <c r="CH88" i="30"/>
  <c r="CL88" i="30"/>
  <c r="CP88" i="30"/>
  <c r="CT88" i="30"/>
  <c r="CX88" i="30"/>
  <c r="DB88" i="30"/>
  <c r="DF88" i="30"/>
  <c r="DJ88" i="30"/>
  <c r="DN88" i="30"/>
  <c r="DR88" i="30"/>
  <c r="DV88" i="30"/>
  <c r="DZ88" i="30"/>
  <c r="ED88" i="30"/>
  <c r="EH88" i="30"/>
  <c r="EL88" i="30"/>
  <c r="EP88" i="30"/>
  <c r="ET88" i="30"/>
  <c r="EX88" i="30"/>
  <c r="FB88" i="30"/>
  <c r="FF88" i="30"/>
  <c r="FJ88" i="30"/>
  <c r="FN88" i="30"/>
  <c r="FR88" i="30"/>
  <c r="FV88" i="30"/>
  <c r="FZ88" i="30"/>
  <c r="R107" i="15"/>
  <c r="E7" i="22"/>
  <c r="R34" i="15"/>
  <c r="R32" i="15"/>
  <c r="R33" i="15"/>
  <c r="E5" i="22"/>
  <c r="G66" i="26"/>
  <c r="G6" i="22"/>
  <c r="G5" i="22"/>
  <c r="H5" i="22"/>
  <c r="G4" i="22"/>
  <c r="H4" i="22"/>
  <c r="D22" i="1"/>
  <c r="D35" i="1"/>
  <c r="AT3" i="4"/>
  <c r="D31" i="1"/>
  <c r="D23" i="1"/>
  <c r="D34" i="1"/>
  <c r="R14" i="32"/>
  <c r="DS63" i="30"/>
  <c r="E114" i="25"/>
  <c r="E114" i="26"/>
  <c r="R19" i="32"/>
  <c r="C22" i="31"/>
  <c r="GA63" i="30"/>
  <c r="E119" i="25"/>
  <c r="E119" i="26"/>
  <c r="D71" i="30"/>
  <c r="E71" i="30"/>
  <c r="F71" i="30"/>
  <c r="G71" i="30"/>
  <c r="H71" i="30"/>
  <c r="I71" i="30"/>
  <c r="J71" i="30"/>
  <c r="K71" i="30"/>
  <c r="L71" i="30"/>
  <c r="M71" i="30"/>
  <c r="N71" i="30"/>
  <c r="O71" i="30"/>
  <c r="D72" i="30"/>
  <c r="E72" i="30"/>
  <c r="L72" i="30"/>
  <c r="H72" i="30"/>
  <c r="O72" i="30"/>
  <c r="J72" i="30"/>
  <c r="K72" i="30"/>
  <c r="G72" i="30"/>
  <c r="M72" i="30"/>
  <c r="N72" i="30"/>
  <c r="F72" i="30"/>
  <c r="I72" i="30"/>
  <c r="AH71" i="30"/>
  <c r="AE71" i="30"/>
  <c r="S71" i="30"/>
  <c r="W71" i="30"/>
  <c r="AA71" i="30"/>
  <c r="AF71" i="30"/>
  <c r="P71" i="30"/>
  <c r="T71" i="30"/>
  <c r="X71" i="30"/>
  <c r="AB71" i="30"/>
  <c r="Q71" i="30"/>
  <c r="U71" i="30"/>
  <c r="U72" i="30"/>
  <c r="Y71" i="30"/>
  <c r="Y72" i="30"/>
  <c r="AC71" i="30"/>
  <c r="AC72" i="30"/>
  <c r="R71" i="30"/>
  <c r="V71" i="30"/>
  <c r="V72" i="30"/>
  <c r="Z71" i="30"/>
  <c r="Z72" i="30"/>
  <c r="AD71" i="30"/>
  <c r="AG71" i="30"/>
  <c r="AH72" i="30"/>
  <c r="AI71" i="30"/>
  <c r="T72" i="30"/>
  <c r="W72" i="30"/>
  <c r="X72" i="30"/>
  <c r="AA72" i="30"/>
  <c r="R72" i="30"/>
  <c r="Q72" i="30"/>
  <c r="P72" i="30"/>
  <c r="S72" i="30"/>
  <c r="AD72" i="30"/>
  <c r="AE72" i="30"/>
  <c r="AB72" i="30"/>
  <c r="AF72" i="30"/>
  <c r="AG72" i="30"/>
  <c r="AJ71" i="30"/>
  <c r="AJ72" i="30"/>
  <c r="AI72" i="30"/>
  <c r="AK71" i="30"/>
  <c r="AL71" i="30"/>
  <c r="AK72" i="30"/>
  <c r="AL72" i="30"/>
  <c r="AM71" i="30"/>
  <c r="AN71" i="30"/>
  <c r="AN72" i="30"/>
  <c r="AM72" i="30"/>
  <c r="AO71" i="30"/>
  <c r="AO72" i="30"/>
  <c r="AP71" i="30"/>
  <c r="AQ71" i="30"/>
  <c r="AP72" i="30"/>
  <c r="AR71" i="30"/>
  <c r="AR72" i="30"/>
  <c r="AQ72" i="30"/>
  <c r="AS71" i="30"/>
  <c r="AS72" i="30"/>
  <c r="AT71" i="30"/>
  <c r="AT72" i="30"/>
  <c r="AU71" i="30"/>
  <c r="AU72" i="30"/>
  <c r="AV71" i="30"/>
  <c r="AV72" i="30"/>
  <c r="AW71" i="30"/>
  <c r="AX71" i="30"/>
  <c r="AW72" i="30"/>
  <c r="AY71" i="30"/>
  <c r="AY72" i="30"/>
  <c r="AX72" i="30"/>
  <c r="AZ71" i="30"/>
  <c r="BA71" i="30"/>
  <c r="AZ72" i="30"/>
  <c r="BB71" i="30"/>
  <c r="BA72" i="30"/>
  <c r="BC71" i="30"/>
  <c r="BB72" i="30"/>
  <c r="BD71" i="30"/>
  <c r="BC72" i="30"/>
  <c r="BE71" i="30"/>
  <c r="BD72" i="30"/>
  <c r="BF71" i="30"/>
  <c r="BE72" i="30"/>
  <c r="BG71" i="30"/>
  <c r="BF72" i="30"/>
  <c r="BH71" i="30"/>
  <c r="BH72" i="30"/>
  <c r="BG72" i="30"/>
  <c r="BI71" i="30"/>
  <c r="BI72" i="30"/>
  <c r="BJ71" i="30"/>
  <c r="BK71" i="30"/>
  <c r="BJ72" i="30"/>
  <c r="BL71" i="30"/>
  <c r="BL72" i="30"/>
  <c r="BK72" i="30"/>
  <c r="BM71" i="30"/>
  <c r="BN71" i="30"/>
  <c r="BN72" i="30"/>
  <c r="BM72" i="30"/>
  <c r="BO71" i="30"/>
  <c r="BO72" i="30"/>
  <c r="BP71" i="30"/>
  <c r="BQ71" i="30"/>
  <c r="BQ72" i="30"/>
  <c r="BP72" i="30"/>
  <c r="BR71" i="30"/>
  <c r="BS71" i="30"/>
  <c r="BS72" i="30"/>
  <c r="BR72" i="30"/>
  <c r="BT71" i="30"/>
  <c r="BU71" i="30"/>
  <c r="BT72" i="30"/>
  <c r="BV71" i="30"/>
  <c r="BU72" i="30"/>
  <c r="BW71" i="30"/>
  <c r="BW72" i="30"/>
  <c r="BV72" i="30"/>
  <c r="BX71" i="30"/>
  <c r="BY71" i="30"/>
  <c r="BX72" i="30"/>
  <c r="BZ71" i="30"/>
  <c r="BY72" i="30"/>
  <c r="CA71" i="30"/>
  <c r="CA72" i="30"/>
  <c r="BZ72" i="30"/>
  <c r="CB71" i="30"/>
  <c r="CC71" i="30"/>
  <c r="CC72" i="30"/>
  <c r="CB72" i="30"/>
  <c r="CD71" i="30"/>
  <c r="CD72" i="30"/>
  <c r="CE71" i="30"/>
  <c r="CF71" i="30"/>
  <c r="CF72" i="30"/>
  <c r="CE72" i="30"/>
  <c r="CG71" i="30"/>
  <c r="CH71" i="30"/>
  <c r="CG72" i="30"/>
  <c r="CI71" i="30"/>
  <c r="CH72" i="30"/>
  <c r="CI72" i="30"/>
  <c r="CJ71" i="30"/>
  <c r="CJ72" i="30"/>
  <c r="CK71" i="30"/>
  <c r="CK72" i="30"/>
  <c r="CL71" i="30"/>
  <c r="CL72" i="30"/>
  <c r="CM71" i="30"/>
  <c r="CN71" i="30"/>
  <c r="CN72" i="30"/>
  <c r="CM72" i="30"/>
  <c r="CO71" i="30"/>
  <c r="CO72" i="30"/>
  <c r="CP71" i="30"/>
  <c r="CQ71" i="30"/>
  <c r="CP72" i="30"/>
  <c r="CR71" i="30"/>
  <c r="CQ72" i="30"/>
  <c r="CS71" i="30"/>
  <c r="CR72" i="30"/>
  <c r="CT71" i="30"/>
  <c r="CS72" i="30"/>
  <c r="CT72" i="30"/>
  <c r="CU71" i="30"/>
  <c r="CU72" i="30"/>
  <c r="CV71" i="30"/>
  <c r="CV72" i="30"/>
  <c r="CW71" i="30"/>
  <c r="CW72" i="30"/>
  <c r="CX71" i="30"/>
  <c r="CX72" i="30"/>
  <c r="CY71" i="30"/>
  <c r="CZ71" i="30"/>
  <c r="CY72" i="30"/>
  <c r="DA71" i="30"/>
  <c r="CZ72" i="30"/>
  <c r="DA72" i="30"/>
  <c r="DB71" i="30"/>
  <c r="DB72" i="30"/>
  <c r="DC71" i="30"/>
  <c r="DC72" i="30"/>
  <c r="DD71" i="30"/>
  <c r="DD72" i="30"/>
  <c r="DE71" i="30"/>
  <c r="DE72" i="30"/>
  <c r="DF71" i="30"/>
  <c r="DF72" i="30"/>
  <c r="DG71" i="30"/>
  <c r="DG72" i="30"/>
  <c r="DH71" i="30"/>
  <c r="DH72" i="30"/>
  <c r="DI71" i="30"/>
  <c r="DI72" i="30"/>
  <c r="DJ71" i="30"/>
  <c r="DJ72" i="30"/>
  <c r="DK71" i="30"/>
  <c r="DK72" i="30"/>
  <c r="DL71" i="30"/>
  <c r="DL72" i="30"/>
  <c r="DM71" i="30"/>
  <c r="DM72" i="30"/>
  <c r="DN71" i="30"/>
  <c r="DN72" i="30"/>
  <c r="DO71" i="30"/>
  <c r="DO72" i="30"/>
  <c r="DP71" i="30"/>
  <c r="DP72" i="30"/>
  <c r="DQ71" i="30"/>
  <c r="DQ72" i="30"/>
  <c r="DR71" i="30"/>
  <c r="DR72" i="30"/>
  <c r="DS71" i="30"/>
  <c r="DS72" i="30"/>
  <c r="DT71" i="30"/>
  <c r="DT72" i="30"/>
  <c r="DU71" i="30"/>
  <c r="DU72" i="30"/>
  <c r="DV71" i="30"/>
  <c r="DV72" i="30"/>
  <c r="DW71" i="30"/>
  <c r="DW72" i="30"/>
  <c r="DX71" i="30"/>
  <c r="DX72" i="30"/>
  <c r="DY71" i="30"/>
  <c r="DY72" i="30"/>
  <c r="DZ71" i="30"/>
  <c r="DZ72" i="30"/>
  <c r="EA71" i="30"/>
  <c r="EA72" i="30"/>
  <c r="EB71" i="30"/>
  <c r="EB72" i="30"/>
  <c r="EC71" i="30"/>
  <c r="EC72" i="30"/>
  <c r="ED71" i="30"/>
  <c r="ED72" i="30"/>
  <c r="EE71" i="30"/>
  <c r="EE72" i="30"/>
  <c r="EF71" i="30"/>
  <c r="EF72" i="30"/>
  <c r="EG71" i="30"/>
  <c r="EG72" i="30"/>
  <c r="EH71" i="30"/>
  <c r="EH72" i="30"/>
  <c r="EI71" i="30"/>
  <c r="EI72" i="30"/>
  <c r="EJ71" i="30"/>
  <c r="EJ72" i="30"/>
  <c r="EK71" i="30"/>
  <c r="EK72" i="30"/>
  <c r="EL71" i="30"/>
  <c r="EL72" i="30"/>
  <c r="EM71" i="30"/>
  <c r="EM72" i="30"/>
  <c r="EN71" i="30"/>
  <c r="EN72" i="30"/>
  <c r="EO71" i="30"/>
  <c r="EO72" i="30"/>
  <c r="EP71" i="30"/>
  <c r="EP72" i="30"/>
  <c r="EQ71" i="30"/>
  <c r="EQ72" i="30"/>
  <c r="ER71" i="30"/>
  <c r="ER72" i="30"/>
  <c r="ES71" i="30"/>
  <c r="ES72" i="30"/>
  <c r="ET71" i="30"/>
  <c r="ET72" i="30"/>
  <c r="EU71" i="30"/>
  <c r="EU72" i="30"/>
  <c r="EV71" i="30"/>
  <c r="EV72" i="30"/>
  <c r="EW71" i="30"/>
  <c r="EW72" i="30"/>
  <c r="EX71" i="30"/>
  <c r="EX72" i="30"/>
  <c r="EY71" i="30"/>
  <c r="EY72" i="30"/>
  <c r="EZ71" i="30"/>
  <c r="EZ72" i="30"/>
  <c r="FA71" i="30"/>
  <c r="FA72" i="30"/>
  <c r="FB71" i="30"/>
  <c r="FB72" i="30"/>
  <c r="FC71" i="30"/>
  <c r="FC72" i="30"/>
  <c r="FD71" i="30"/>
  <c r="FD72" i="30"/>
  <c r="FE71" i="30"/>
  <c r="FE72" i="30"/>
  <c r="FF71" i="30"/>
  <c r="FF72" i="30"/>
  <c r="FG71" i="30"/>
  <c r="FG72" i="30"/>
  <c r="FH71" i="30"/>
  <c r="FH72" i="30"/>
  <c r="FI71" i="30"/>
  <c r="FI72" i="30"/>
  <c r="FJ71" i="30"/>
  <c r="FJ72" i="30"/>
  <c r="FK71" i="30"/>
  <c r="FK72" i="30"/>
  <c r="FL71" i="30"/>
  <c r="FL72" i="30"/>
  <c r="FM71" i="30"/>
  <c r="FM72" i="30"/>
  <c r="FN71" i="30"/>
  <c r="FN72" i="30"/>
  <c r="FO71" i="30"/>
  <c r="FO72" i="30"/>
  <c r="FP71" i="30"/>
  <c r="FP72" i="30"/>
  <c r="FQ71" i="30"/>
  <c r="FQ72" i="30"/>
  <c r="FR71" i="30"/>
  <c r="FR72" i="30"/>
  <c r="FS71" i="30"/>
  <c r="FS72" i="30"/>
  <c r="FT71" i="30"/>
  <c r="FT72" i="30"/>
  <c r="FU71" i="30"/>
  <c r="FU72" i="30"/>
  <c r="FV71" i="30"/>
  <c r="FV72" i="30"/>
  <c r="FW71" i="30"/>
  <c r="FW72" i="30"/>
  <c r="FX71" i="30"/>
  <c r="FX72" i="30"/>
  <c r="FY71" i="30"/>
  <c r="FY72" i="30"/>
  <c r="FZ71" i="30"/>
  <c r="FZ72" i="30"/>
  <c r="GA71" i="30"/>
  <c r="GA72" i="30"/>
  <c r="AG8" i="32" l="1"/>
  <c r="D33" i="1"/>
  <c r="AV3" i="4"/>
  <c r="AW4" i="4"/>
  <c r="AW3" i="4"/>
  <c r="AY3" i="4"/>
  <c r="D32" i="1"/>
  <c r="E7" i="1"/>
  <c r="E10" i="1" s="1"/>
  <c r="D31" i="34"/>
  <c r="AR4" i="4"/>
  <c r="AG9" i="32"/>
  <c r="AY4" i="4"/>
  <c r="AX4" i="4"/>
  <c r="D42" i="1"/>
  <c r="AQ4" i="4"/>
  <c r="AV4" i="4"/>
  <c r="AX3" i="4"/>
  <c r="AS4" i="4"/>
  <c r="H1" i="18"/>
  <c r="G34" i="9"/>
  <c r="G37" i="9"/>
  <c r="G33" i="9"/>
  <c r="H31" i="9"/>
  <c r="E31" i="9"/>
  <c r="N17" i="9"/>
  <c r="O17" i="9" s="1"/>
  <c r="J31" i="9"/>
  <c r="L37" i="9"/>
  <c r="K2" i="9"/>
  <c r="C33" i="9"/>
  <c r="K34" i="9"/>
  <c r="K36" i="9"/>
  <c r="K37" i="9"/>
  <c r="K33" i="9"/>
  <c r="F37" i="9"/>
  <c r="F33" i="9"/>
  <c r="F36" i="9"/>
  <c r="F34" i="9"/>
  <c r="I33" i="9"/>
  <c r="I34" i="9"/>
  <c r="I37" i="9"/>
  <c r="I36" i="9"/>
  <c r="D1" i="9"/>
  <c r="AL4" i="32"/>
  <c r="B33" i="9"/>
  <c r="B34" i="9"/>
  <c r="B36" i="9"/>
  <c r="B37" i="9"/>
  <c r="H37" i="9"/>
  <c r="C37" i="9"/>
  <c r="D31" i="9"/>
  <c r="AL15" i="32"/>
  <c r="L33" i="9"/>
  <c r="G36" i="9"/>
  <c r="C36" i="9"/>
  <c r="J34" i="9"/>
  <c r="F2" i="9"/>
  <c r="F1" i="9" s="1"/>
  <c r="M36" i="9"/>
  <c r="M37" i="9"/>
  <c r="M33" i="9"/>
  <c r="E18" i="26"/>
  <c r="G18" i="26" s="1"/>
  <c r="C15" i="30"/>
  <c r="C18" i="30" s="1"/>
  <c r="G42" i="19"/>
  <c r="G45" i="19" s="1"/>
  <c r="C4" i="32"/>
  <c r="C21" i="31"/>
  <c r="E18" i="25"/>
  <c r="G18" i="25" s="1"/>
  <c r="R4" i="32"/>
  <c r="T4" i="32" s="1"/>
  <c r="U4" i="32" s="1"/>
  <c r="E104" i="26"/>
  <c r="E120" i="26" s="1"/>
  <c r="E120" i="25"/>
  <c r="AG10" i="32"/>
  <c r="G17" i="19"/>
  <c r="AG13" i="32"/>
  <c r="AH13" i="32" s="1"/>
  <c r="AM15" i="32"/>
  <c r="AN15" i="32" s="1"/>
  <c r="C19" i="4"/>
  <c r="C15" i="4"/>
  <c r="C11" i="4"/>
  <c r="C7" i="4"/>
  <c r="AM10" i="32"/>
  <c r="C18" i="4"/>
  <c r="C10" i="4"/>
  <c r="AM13" i="32"/>
  <c r="AM4" i="32"/>
  <c r="C20" i="4"/>
  <c r="C12" i="4"/>
  <c r="AM14" i="32"/>
  <c r="AN14" i="32" s="1"/>
  <c r="AO14" i="32" s="1"/>
  <c r="C14" i="4"/>
  <c r="C6" i="4"/>
  <c r="C17" i="4"/>
  <c r="C13" i="4"/>
  <c r="C9" i="4"/>
  <c r="C16" i="4"/>
  <c r="C8" i="4"/>
  <c r="B15" i="19"/>
  <c r="F30" i="1"/>
  <c r="M49" i="30"/>
  <c r="F18" i="22"/>
  <c r="D24" i="22" s="1"/>
  <c r="AG6" i="32"/>
  <c r="AH6" i="32" s="1"/>
  <c r="AG14" i="32"/>
  <c r="AG15" i="32"/>
  <c r="AH15" i="32"/>
  <c r="G18" i="19"/>
  <c r="F21" i="22" s="1"/>
  <c r="D25" i="22" s="1"/>
  <c r="AG11" i="32"/>
  <c r="AG4" i="32"/>
  <c r="AG7" i="32"/>
  <c r="AH7" i="32" s="1"/>
  <c r="AG12" i="32"/>
  <c r="AG5" i="32"/>
  <c r="B32" i="19"/>
  <c r="D39" i="30" s="1"/>
  <c r="B1" i="1"/>
  <c r="P49" i="30"/>
  <c r="R49" i="30"/>
  <c r="G48" i="19"/>
  <c r="C17" i="30"/>
  <c r="L49" i="30"/>
  <c r="I49" i="30"/>
  <c r="G49" i="30"/>
  <c r="K49" i="30"/>
  <c r="C20" i="30"/>
  <c r="H49" i="30"/>
  <c r="D49" i="30"/>
  <c r="K1" i="18"/>
  <c r="I1" i="18"/>
  <c r="M1" i="9"/>
  <c r="H1" i="9"/>
  <c r="F9" i="4"/>
  <c r="T9" i="4" s="1"/>
  <c r="C1" i="18"/>
  <c r="N1" i="18"/>
  <c r="F19" i="4"/>
  <c r="T19" i="4" s="1"/>
  <c r="F20" i="4"/>
  <c r="T20" i="4" s="1"/>
  <c r="F12" i="4"/>
  <c r="T12" i="4" s="1"/>
  <c r="F14" i="4"/>
  <c r="T14" i="4" s="1"/>
  <c r="F17" i="4"/>
  <c r="T17" i="4" s="1"/>
  <c r="F7" i="4"/>
  <c r="T7" i="4" s="1"/>
  <c r="G2" i="19"/>
  <c r="F11" i="4"/>
  <c r="T11" i="4" s="1"/>
  <c r="F6" i="4"/>
  <c r="T6" i="4" s="1"/>
  <c r="F18" i="4"/>
  <c r="T18" i="4" s="1"/>
  <c r="F16" i="4"/>
  <c r="T16" i="4" s="1"/>
  <c r="F13" i="4"/>
  <c r="T13" i="4" s="1"/>
  <c r="L1" i="9"/>
  <c r="L1" i="18"/>
  <c r="D1" i="18"/>
  <c r="G1" i="18"/>
  <c r="J1" i="18"/>
  <c r="K1" i="9"/>
  <c r="C1" i="9"/>
  <c r="B1" i="9"/>
  <c r="I1" i="9"/>
  <c r="AH8" i="32"/>
  <c r="F15" i="4"/>
  <c r="T15" i="4" s="1"/>
  <c r="F10" i="4"/>
  <c r="T10" i="4" s="1"/>
  <c r="M1" i="18"/>
  <c r="AH5" i="32"/>
  <c r="AH9" i="32"/>
  <c r="AH14" i="32"/>
  <c r="F1" i="18"/>
  <c r="E1" i="9"/>
  <c r="AH11" i="32"/>
  <c r="E58" i="30"/>
  <c r="C21" i="30" l="1"/>
  <c r="C24" i="30" s="1"/>
  <c r="R21" i="32"/>
  <c r="G9" i="25"/>
  <c r="G9" i="26"/>
  <c r="G63" i="26" s="1"/>
  <c r="O34" i="9"/>
  <c r="O18" i="9"/>
  <c r="O24" i="9"/>
  <c r="O21" i="9"/>
  <c r="O27" i="9"/>
  <c r="O37" i="9"/>
  <c r="P7" i="18"/>
  <c r="BE4" i="4" s="1"/>
  <c r="P6" i="18"/>
  <c r="BD4" i="4" s="1"/>
  <c r="P5" i="18"/>
  <c r="BC4" i="4" s="1"/>
  <c r="J33" i="9"/>
  <c r="J37" i="9"/>
  <c r="H33" i="9"/>
  <c r="H36" i="9"/>
  <c r="H34" i="9"/>
  <c r="J36" i="9"/>
  <c r="E37" i="9"/>
  <c r="E33" i="9"/>
  <c r="E34" i="9"/>
  <c r="E36" i="9"/>
  <c r="AO15" i="32"/>
  <c r="AP15" i="32" s="1"/>
  <c r="AL6" i="32"/>
  <c r="AL5" i="32"/>
  <c r="AM7" i="32"/>
  <c r="AN7" i="32" s="1"/>
  <c r="AL11" i="32"/>
  <c r="AL10" i="32"/>
  <c r="AM12" i="32"/>
  <c r="AN12" i="32" s="1"/>
  <c r="AM11" i="32"/>
  <c r="AN11" i="32" s="1"/>
  <c r="D36" i="9"/>
  <c r="N36" i="9" s="1"/>
  <c r="D37" i="9"/>
  <c r="N37" i="9" s="1"/>
  <c r="D33" i="9"/>
  <c r="D34" i="9"/>
  <c r="AL7" i="32"/>
  <c r="AM8" i="32"/>
  <c r="AN8" i="32" s="1"/>
  <c r="AM9" i="32"/>
  <c r="AN9" i="32" s="1"/>
  <c r="AM5" i="32"/>
  <c r="AM6" i="32"/>
  <c r="AN6" i="32" s="1"/>
  <c r="AL9" i="32"/>
  <c r="AL8" i="32"/>
  <c r="AL12" i="32"/>
  <c r="F4" i="32"/>
  <c r="G4" i="32" s="1"/>
  <c r="G5" i="32"/>
  <c r="C26" i="30"/>
  <c r="C7" i="30" s="1"/>
  <c r="C21" i="32"/>
  <c r="C10" i="34"/>
  <c r="G63" i="25"/>
  <c r="B24" i="19"/>
  <c r="D37" i="30" s="1"/>
  <c r="D40" i="30" s="1"/>
  <c r="G21" i="19"/>
  <c r="E12" i="1"/>
  <c r="C5" i="1"/>
  <c r="C32" i="1" s="1"/>
  <c r="E32" i="1" s="1"/>
  <c r="E39" i="1"/>
  <c r="E41" i="1"/>
  <c r="E14" i="1"/>
  <c r="C6" i="1"/>
  <c r="C33" i="1" s="1"/>
  <c r="E33" i="1" s="1"/>
  <c r="C4" i="1"/>
  <c r="C31" i="1" s="1"/>
  <c r="E31" i="1" s="1"/>
  <c r="E40" i="1"/>
  <c r="E13" i="1"/>
  <c r="C8" i="1"/>
  <c r="C35" i="1" s="1"/>
  <c r="E35" i="1" s="1"/>
  <c r="C7" i="1"/>
  <c r="C34" i="1" s="1"/>
  <c r="E34" i="1" s="1"/>
  <c r="C3" i="1"/>
  <c r="E39" i="30"/>
  <c r="D50" i="30"/>
  <c r="G19" i="19"/>
  <c r="L19" i="4"/>
  <c r="N19" i="4" s="1"/>
  <c r="L17" i="4"/>
  <c r="O17" i="4" s="1"/>
  <c r="L15" i="4"/>
  <c r="O15" i="4" s="1"/>
  <c r="L12" i="4"/>
  <c r="O12" i="4" s="1"/>
  <c r="L8" i="4"/>
  <c r="N8" i="4" s="1"/>
  <c r="L11" i="4"/>
  <c r="O11" i="4" s="1"/>
  <c r="L7" i="4"/>
  <c r="O7" i="4" s="1"/>
  <c r="L20" i="4"/>
  <c r="N20" i="4" s="1"/>
  <c r="L18" i="4"/>
  <c r="O18" i="4" s="1"/>
  <c r="L16" i="4"/>
  <c r="O16" i="4" s="1"/>
  <c r="L14" i="4"/>
  <c r="O14" i="4" s="1"/>
  <c r="L10" i="4"/>
  <c r="O10" i="4" s="1"/>
  <c r="L6" i="4"/>
  <c r="O6" i="4" s="1"/>
  <c r="C20" i="31"/>
  <c r="L13" i="4"/>
  <c r="O13" i="4" s="1"/>
  <c r="F19" i="22"/>
  <c r="L9" i="4"/>
  <c r="N9" i="4" s="1"/>
  <c r="D44" i="30"/>
  <c r="E44" i="30" s="1"/>
  <c r="F44" i="30" s="1"/>
  <c r="G44" i="30" s="1"/>
  <c r="H44" i="30" s="1"/>
  <c r="I44" i="30" s="1"/>
  <c r="J44" i="30" s="1"/>
  <c r="K44" i="30" s="1"/>
  <c r="L44" i="30" s="1"/>
  <c r="M44" i="30" s="1"/>
  <c r="N44" i="30" s="1"/>
  <c r="O44" i="30" s="1"/>
  <c r="P44" i="30" s="1"/>
  <c r="Q44" i="30" s="1"/>
  <c r="R44" i="30" s="1"/>
  <c r="AG19" i="32"/>
  <c r="T90" i="30"/>
  <c r="P90" i="30"/>
  <c r="X90" i="30"/>
  <c r="AA90" i="30"/>
  <c r="Z90" i="30"/>
  <c r="Y90" i="30"/>
  <c r="S90" i="30"/>
  <c r="R90" i="30"/>
  <c r="W90" i="30"/>
  <c r="V90" i="30"/>
  <c r="U90" i="30"/>
  <c r="Q90" i="30"/>
  <c r="AN10" i="32"/>
  <c r="AH10" i="32"/>
  <c r="AH12" i="32"/>
  <c r="AN13" i="32"/>
  <c r="AO13" i="32" s="1"/>
  <c r="O19" i="4"/>
  <c r="AN4" i="32"/>
  <c r="AO4" i="32" s="1"/>
  <c r="AH4" i="32"/>
  <c r="AE19" i="32"/>
  <c r="N16" i="4"/>
  <c r="AQ14" i="32"/>
  <c r="AP14" i="32"/>
  <c r="F58" i="30"/>
  <c r="N18" i="4" l="1"/>
  <c r="O9" i="4"/>
  <c r="N14" i="4"/>
  <c r="O8" i="4"/>
  <c r="AW8" i="4" s="1"/>
  <c r="N7" i="4"/>
  <c r="N15" i="4"/>
  <c r="N13" i="4"/>
  <c r="B29" i="19"/>
  <c r="O38" i="30" s="1"/>
  <c r="O49" i="30" s="1"/>
  <c r="AL6" i="4"/>
  <c r="AL7" i="4" s="1"/>
  <c r="AL8" i="4" s="1"/>
  <c r="AL9" i="4" s="1"/>
  <c r="AL10" i="4" s="1"/>
  <c r="AL11" i="4" s="1"/>
  <c r="AL12" i="4" s="1"/>
  <c r="AL13" i="4" s="1"/>
  <c r="AL14" i="4" s="1"/>
  <c r="AL15" i="4" s="1"/>
  <c r="AL16" i="4" s="1"/>
  <c r="AL17" i="4" s="1"/>
  <c r="AL18" i="4" s="1"/>
  <c r="AL19" i="4" s="1"/>
  <c r="AL20" i="4" s="1"/>
  <c r="B22" i="22"/>
  <c r="AQ15" i="32"/>
  <c r="AR15" i="32" s="1"/>
  <c r="N34" i="9"/>
  <c r="O36" i="9"/>
  <c r="N33" i="9"/>
  <c r="O33" i="9" s="1"/>
  <c r="AO11" i="32"/>
  <c r="AQ11" i="32" s="1"/>
  <c r="AO6" i="32"/>
  <c r="AP6" i="32" s="1"/>
  <c r="AO10" i="32"/>
  <c r="AP10" i="32" s="1"/>
  <c r="AO9" i="32"/>
  <c r="AQ9" i="32" s="1"/>
  <c r="AO12" i="32"/>
  <c r="AQ12" i="32" s="1"/>
  <c r="AM17" i="32"/>
  <c r="AO7" i="32"/>
  <c r="AO8" i="32"/>
  <c r="AP8" i="32" s="1"/>
  <c r="AM18" i="32"/>
  <c r="AN5" i="32"/>
  <c r="AO5" i="32" s="1"/>
  <c r="AQ5" i="32" s="1"/>
  <c r="D7" i="30"/>
  <c r="D48" i="30"/>
  <c r="E37" i="30"/>
  <c r="N17" i="4"/>
  <c r="N6" i="4"/>
  <c r="N11" i="4"/>
  <c r="D51" i="30"/>
  <c r="F75" i="30" s="1"/>
  <c r="N29" i="34"/>
  <c r="T30" i="34"/>
  <c r="Q30" i="34"/>
  <c r="O30" i="34"/>
  <c r="H30" i="34"/>
  <c r="N30" i="34"/>
  <c r="U29" i="34"/>
  <c r="F18" i="34"/>
  <c r="P30" i="34"/>
  <c r="L29" i="34"/>
  <c r="O29" i="34"/>
  <c r="L30" i="34"/>
  <c r="R29" i="34"/>
  <c r="K30" i="34"/>
  <c r="S30" i="34"/>
  <c r="T29" i="34"/>
  <c r="K29" i="34"/>
  <c r="P29" i="34"/>
  <c r="G29" i="34"/>
  <c r="J29" i="34"/>
  <c r="R30" i="34"/>
  <c r="F32" i="34"/>
  <c r="Q29" i="34"/>
  <c r="H29" i="34"/>
  <c r="I29" i="34"/>
  <c r="G30" i="34"/>
  <c r="M29" i="34"/>
  <c r="S29" i="34"/>
  <c r="I30" i="34"/>
  <c r="M30" i="34"/>
  <c r="U30" i="34"/>
  <c r="J30" i="34"/>
  <c r="C11" i="34"/>
  <c r="F20" i="22"/>
  <c r="O20" i="4"/>
  <c r="AW20" i="4" s="1"/>
  <c r="E76" i="30"/>
  <c r="G76" i="30"/>
  <c r="N76" i="30"/>
  <c r="L76" i="30"/>
  <c r="O76" i="30"/>
  <c r="F76" i="30"/>
  <c r="I76" i="30"/>
  <c r="H76" i="30"/>
  <c r="K76" i="30"/>
  <c r="M76" i="30"/>
  <c r="J76" i="30"/>
  <c r="D76" i="30"/>
  <c r="C30" i="1"/>
  <c r="C10" i="1"/>
  <c r="N12" i="4"/>
  <c r="E50" i="30"/>
  <c r="F39" i="30"/>
  <c r="N10" i="4"/>
  <c r="AP13" i="32"/>
  <c r="AQ13" i="32"/>
  <c r="AR14" i="32"/>
  <c r="AS10" i="4"/>
  <c r="AW10" i="4"/>
  <c r="AR10" i="4"/>
  <c r="AX10" i="4"/>
  <c r="Q11" i="4"/>
  <c r="AT10" i="4"/>
  <c r="AY10" i="4"/>
  <c r="AV10" i="4"/>
  <c r="BE10" i="4"/>
  <c r="BC10" i="4"/>
  <c r="AQ10" i="4"/>
  <c r="BD10" i="4"/>
  <c r="AT15" i="4"/>
  <c r="AX15" i="4"/>
  <c r="AQ15" i="4"/>
  <c r="AY15" i="4"/>
  <c r="AV15" i="4"/>
  <c r="AW15" i="4"/>
  <c r="AR15" i="4"/>
  <c r="Q16" i="4"/>
  <c r="AS15" i="4"/>
  <c r="BD15" i="4"/>
  <c r="BC15" i="4"/>
  <c r="BE15" i="4"/>
  <c r="AS8" i="4"/>
  <c r="Q9" i="4"/>
  <c r="BE8" i="4"/>
  <c r="AQ9" i="4"/>
  <c r="AY9" i="4"/>
  <c r="AT9" i="4"/>
  <c r="AV9" i="4"/>
  <c r="AX9" i="4"/>
  <c r="Q10" i="4"/>
  <c r="AR9" i="4"/>
  <c r="BC9" i="4"/>
  <c r="AS9" i="4"/>
  <c r="BD9" i="4"/>
  <c r="AW9" i="4"/>
  <c r="BE9" i="4"/>
  <c r="Q7" i="4"/>
  <c r="BD6" i="4"/>
  <c r="BE6" i="4"/>
  <c r="BC6" i="4"/>
  <c r="AT19" i="4"/>
  <c r="AX19" i="4"/>
  <c r="AQ19" i="4"/>
  <c r="AY19" i="4"/>
  <c r="Q20" i="4"/>
  <c r="AV19" i="4"/>
  <c r="AW19" i="4"/>
  <c r="BD19" i="4"/>
  <c r="AR19" i="4"/>
  <c r="BE19" i="4"/>
  <c r="AS19" i="4"/>
  <c r="BC19" i="4"/>
  <c r="AT13" i="4"/>
  <c r="AX13" i="4"/>
  <c r="AQ13" i="4"/>
  <c r="AY13" i="4"/>
  <c r="AV13" i="4"/>
  <c r="AW13" i="4"/>
  <c r="AS13" i="4"/>
  <c r="BE13" i="4"/>
  <c r="BD13" i="4"/>
  <c r="Q14" i="4"/>
  <c r="BC13" i="4"/>
  <c r="AR13" i="4"/>
  <c r="Q17" i="4"/>
  <c r="AR16" i="4"/>
  <c r="AV16" i="4"/>
  <c r="AS16" i="4"/>
  <c r="AW16" i="4"/>
  <c r="AQ16" i="4"/>
  <c r="AY16" i="4"/>
  <c r="AT16" i="4"/>
  <c r="BE16" i="4"/>
  <c r="AX16" i="4"/>
  <c r="BD16" i="4"/>
  <c r="BC16" i="4"/>
  <c r="AT17" i="4"/>
  <c r="AX17" i="4"/>
  <c r="AQ17" i="4"/>
  <c r="AY17" i="4"/>
  <c r="AV17" i="4"/>
  <c r="AW17" i="4"/>
  <c r="BE17" i="4"/>
  <c r="BD17" i="4"/>
  <c r="AR17" i="4"/>
  <c r="BC17" i="4"/>
  <c r="Q18" i="4"/>
  <c r="AS17" i="4"/>
  <c r="AQ11" i="4"/>
  <c r="AY11" i="4"/>
  <c r="AT11" i="4"/>
  <c r="AV11" i="4"/>
  <c r="Q12" i="4"/>
  <c r="AW11" i="4"/>
  <c r="AX11" i="4"/>
  <c r="BC11" i="4"/>
  <c r="BE11" i="4"/>
  <c r="AR11" i="4"/>
  <c r="BD11" i="4"/>
  <c r="AS11" i="4"/>
  <c r="Q15" i="4"/>
  <c r="AR14" i="4"/>
  <c r="AV14" i="4"/>
  <c r="AS14" i="4"/>
  <c r="AW14" i="4"/>
  <c r="AQ14" i="4"/>
  <c r="AY14" i="4"/>
  <c r="AT14" i="4"/>
  <c r="AX14" i="4"/>
  <c r="BD14" i="4"/>
  <c r="BC14" i="4"/>
  <c r="BE14" i="4"/>
  <c r="AI4" i="32"/>
  <c r="AJ4" i="32"/>
  <c r="Q19" i="4"/>
  <c r="AR18" i="4"/>
  <c r="AV18" i="4"/>
  <c r="AS18" i="4"/>
  <c r="AW18" i="4"/>
  <c r="AQ18" i="4"/>
  <c r="AY18" i="4"/>
  <c r="AT18" i="4"/>
  <c r="BC18" i="4"/>
  <c r="AX18" i="4"/>
  <c r="BE18" i="4"/>
  <c r="BD18" i="4"/>
  <c r="AQ7" i="4"/>
  <c r="AY7" i="4"/>
  <c r="AT7" i="4"/>
  <c r="AV7" i="4"/>
  <c r="Q8" i="4"/>
  <c r="AR7" i="4"/>
  <c r="AS7" i="4"/>
  <c r="BD7" i="4"/>
  <c r="BE7" i="4"/>
  <c r="AW7" i="4"/>
  <c r="AX7" i="4"/>
  <c r="BC7" i="4"/>
  <c r="AP4" i="32"/>
  <c r="AQ4" i="32"/>
  <c r="AS20" i="4"/>
  <c r="Q13" i="4"/>
  <c r="AR12" i="4"/>
  <c r="AV12" i="4"/>
  <c r="AS12" i="4"/>
  <c r="AW12" i="4"/>
  <c r="AT12" i="4"/>
  <c r="BD12" i="4"/>
  <c r="BE12" i="4"/>
  <c r="AQ12" i="4"/>
  <c r="AX12" i="4"/>
  <c r="BC12" i="4"/>
  <c r="AY12" i="4"/>
  <c r="G58" i="30"/>
  <c r="BD8" i="4" l="1"/>
  <c r="AY8" i="4"/>
  <c r="AR8" i="4"/>
  <c r="AV8" i="4"/>
  <c r="AU8" i="4" s="1"/>
  <c r="AQ8" i="4"/>
  <c r="AX8" i="4"/>
  <c r="BC8" i="4"/>
  <c r="BB8" i="4" s="1"/>
  <c r="AM8" i="4" s="1"/>
  <c r="Y27" i="32" s="1"/>
  <c r="AT8" i="4"/>
  <c r="O75" i="30"/>
  <c r="M75" i="30"/>
  <c r="G3" i="19"/>
  <c r="G4" i="19" s="1"/>
  <c r="G7" i="19" s="1"/>
  <c r="D6" i="4"/>
  <c r="K75" i="30"/>
  <c r="N75" i="30"/>
  <c r="L75" i="30"/>
  <c r="H75" i="30"/>
  <c r="AQ10" i="32"/>
  <c r="AR10" i="32" s="1"/>
  <c r="AP11" i="32"/>
  <c r="AR11" i="32" s="1"/>
  <c r="AQ8" i="32"/>
  <c r="AQ6" i="32"/>
  <c r="AR6" i="32" s="1"/>
  <c r="AP12" i="32"/>
  <c r="AR12" i="32" s="1"/>
  <c r="AP9" i="32"/>
  <c r="AR9" i="32" s="1"/>
  <c r="AP5" i="32"/>
  <c r="AR5" i="32" s="1"/>
  <c r="AP7" i="32"/>
  <c r="AQ7" i="32"/>
  <c r="D75" i="30"/>
  <c r="E75" i="30"/>
  <c r="G75" i="30"/>
  <c r="J75" i="30"/>
  <c r="I75" i="30"/>
  <c r="D30" i="34"/>
  <c r="M32" i="34"/>
  <c r="M33" i="34" s="1"/>
  <c r="R32" i="34"/>
  <c r="R33" i="34" s="1"/>
  <c r="N32" i="34"/>
  <c r="N33" i="34" s="1"/>
  <c r="S32" i="34"/>
  <c r="S33" i="34" s="1"/>
  <c r="I32" i="34"/>
  <c r="I33" i="34" s="1"/>
  <c r="G32" i="34"/>
  <c r="O32" i="34"/>
  <c r="O33" i="34" s="1"/>
  <c r="T32" i="34"/>
  <c r="T33" i="34" s="1"/>
  <c r="H32" i="34"/>
  <c r="H33" i="34" s="1"/>
  <c r="J32" i="34"/>
  <c r="J33" i="34" s="1"/>
  <c r="P32" i="34"/>
  <c r="P33" i="34" s="1"/>
  <c r="K32" i="34"/>
  <c r="K33" i="34" s="1"/>
  <c r="Q32" i="34"/>
  <c r="Q33" i="34" s="1"/>
  <c r="L32" i="34"/>
  <c r="L33" i="34" s="1"/>
  <c r="U32" i="34"/>
  <c r="U33" i="34" s="1"/>
  <c r="AP10" i="4"/>
  <c r="D29" i="34"/>
  <c r="BB12" i="4"/>
  <c r="AM12" i="4" s="1"/>
  <c r="BB11" i="4"/>
  <c r="AM11" i="4" s="1"/>
  <c r="Y30" i="32" s="1"/>
  <c r="AP13" i="4"/>
  <c r="E40" i="30"/>
  <c r="E48" i="30"/>
  <c r="E51" i="30" s="1"/>
  <c r="F37" i="30"/>
  <c r="BD20" i="4"/>
  <c r="AY20" i="4"/>
  <c r="AX20" i="4"/>
  <c r="G39" i="30"/>
  <c r="F50" i="30"/>
  <c r="BE20" i="4"/>
  <c r="E30" i="1"/>
  <c r="C37" i="1"/>
  <c r="F9" i="34"/>
  <c r="F11" i="34"/>
  <c r="AV20" i="4"/>
  <c r="AT20" i="4"/>
  <c r="BC20" i="4"/>
  <c r="AR20" i="4"/>
  <c r="AQ20" i="4"/>
  <c r="AU10" i="4"/>
  <c r="AR8" i="32"/>
  <c r="AR13" i="32"/>
  <c r="AU11" i="4"/>
  <c r="AU17" i="4"/>
  <c r="AP16" i="4"/>
  <c r="AU13" i="4"/>
  <c r="AU19" i="4"/>
  <c r="BB19" i="4"/>
  <c r="AM19" i="4" s="1"/>
  <c r="AP18" i="4"/>
  <c r="AP9" i="4"/>
  <c r="AU15" i="4"/>
  <c r="AP7" i="4"/>
  <c r="AP11" i="4"/>
  <c r="AP19" i="4"/>
  <c r="BB9" i="4"/>
  <c r="AM9" i="4" s="1"/>
  <c r="Y28" i="32" s="1"/>
  <c r="AU9" i="4"/>
  <c r="BB15" i="4"/>
  <c r="AM15" i="4" s="1"/>
  <c r="AP12" i="4"/>
  <c r="AU7" i="4"/>
  <c r="BB17" i="4"/>
  <c r="AM17" i="4" s="1"/>
  <c r="Y36" i="32" s="1"/>
  <c r="AP15" i="4"/>
  <c r="BB10" i="4"/>
  <c r="AM10" i="4" s="1"/>
  <c r="Y29" i="32" s="1"/>
  <c r="BB7" i="4"/>
  <c r="AM7" i="4" s="1"/>
  <c r="Y26" i="32" s="1"/>
  <c r="AU12" i="4"/>
  <c r="BB18" i="4"/>
  <c r="AM18" i="4" s="1"/>
  <c r="Y37" i="32" s="1"/>
  <c r="BB14" i="4"/>
  <c r="AM14" i="4" s="1"/>
  <c r="AU14" i="4"/>
  <c r="AP17" i="4"/>
  <c r="BB13" i="4"/>
  <c r="AM13" i="4" s="1"/>
  <c r="Y32" i="32" s="1"/>
  <c r="BB6" i="4"/>
  <c r="AM6" i="4" s="1"/>
  <c r="AU18" i="4"/>
  <c r="AR4" i="32"/>
  <c r="AP14" i="4"/>
  <c r="BB16" i="4"/>
  <c r="AM16" i="4" s="1"/>
  <c r="Y35" i="32" s="1"/>
  <c r="AU16" i="4"/>
  <c r="Y31" i="32"/>
  <c r="AJ5" i="32"/>
  <c r="AS5" i="32" s="1"/>
  <c r="AT5" i="32" s="1"/>
  <c r="AS4" i="32"/>
  <c r="AT4" i="32" s="1"/>
  <c r="H58" i="30"/>
  <c r="AO11" i="4" l="1"/>
  <c r="AK11" i="4" s="1"/>
  <c r="R11" i="4" s="1"/>
  <c r="Z30" i="32" s="1"/>
  <c r="AA30" i="32" s="1"/>
  <c r="AP8" i="4"/>
  <c r="AO13" i="4"/>
  <c r="AK13" i="4" s="1"/>
  <c r="D32" i="34"/>
  <c r="E6" i="4"/>
  <c r="G6" i="4" s="1"/>
  <c r="D7" i="4"/>
  <c r="AX8" i="32"/>
  <c r="AX15" i="32"/>
  <c r="AX6" i="32"/>
  <c r="Z6" i="4"/>
  <c r="AX11" i="32"/>
  <c r="AX13" i="32"/>
  <c r="AX12" i="32"/>
  <c r="D45" i="30"/>
  <c r="AX14" i="32"/>
  <c r="AX4" i="32"/>
  <c r="AX9" i="32"/>
  <c r="C18" i="34"/>
  <c r="C19" i="34" s="1"/>
  <c r="F17" i="34" s="1"/>
  <c r="AX7" i="32"/>
  <c r="AX5" i="32"/>
  <c r="AX10" i="32"/>
  <c r="BB20" i="4"/>
  <c r="AM20" i="4" s="1"/>
  <c r="Y39" i="32" s="1"/>
  <c r="AO10" i="4"/>
  <c r="AK10" i="4" s="1"/>
  <c r="AP20" i="4"/>
  <c r="AU20" i="4"/>
  <c r="AR7" i="32"/>
  <c r="AR19" i="32" s="1"/>
  <c r="X75" i="30"/>
  <c r="Y75" i="30"/>
  <c r="AA75" i="30"/>
  <c r="W75" i="30"/>
  <c r="Z75" i="30"/>
  <c r="Q75" i="30"/>
  <c r="T75" i="30"/>
  <c r="R75" i="30"/>
  <c r="V75" i="30"/>
  <c r="P75" i="30"/>
  <c r="S75" i="30"/>
  <c r="U75" i="30"/>
  <c r="F48" i="30"/>
  <c r="F51" i="30" s="1"/>
  <c r="AI75" i="30" s="1"/>
  <c r="F40" i="30"/>
  <c r="G37" i="30"/>
  <c r="G33" i="34"/>
  <c r="D33" i="34" s="1"/>
  <c r="X76" i="30"/>
  <c r="R76" i="30"/>
  <c r="U76" i="30"/>
  <c r="P76" i="30"/>
  <c r="AA76" i="30"/>
  <c r="T76" i="30"/>
  <c r="Y76" i="30"/>
  <c r="Z76" i="30"/>
  <c r="S76" i="30"/>
  <c r="Q76" i="30"/>
  <c r="V76" i="30"/>
  <c r="W76" i="30"/>
  <c r="AO16" i="4"/>
  <c r="AK16" i="4" s="1"/>
  <c r="R16" i="4" s="1"/>
  <c r="AO17" i="4"/>
  <c r="AK17" i="4" s="1"/>
  <c r="F15" i="22"/>
  <c r="E37" i="1"/>
  <c r="M4" i="32" s="1"/>
  <c r="C42" i="1"/>
  <c r="C43" i="1"/>
  <c r="H39" i="30"/>
  <c r="G50" i="30"/>
  <c r="I9" i="34"/>
  <c r="I11" i="34" s="1"/>
  <c r="M9" i="34"/>
  <c r="M11" i="34" s="1"/>
  <c r="U9" i="34"/>
  <c r="U11" i="34" s="1"/>
  <c r="S9" i="34"/>
  <c r="S11" i="34" s="1"/>
  <c r="Q9" i="34"/>
  <c r="Q11" i="34" s="1"/>
  <c r="O9" i="34"/>
  <c r="O11" i="34" s="1"/>
  <c r="G9" i="34"/>
  <c r="G11" i="34" s="1"/>
  <c r="J9" i="34"/>
  <c r="J11" i="34" s="1"/>
  <c r="H9" i="34"/>
  <c r="H11" i="34" s="1"/>
  <c r="L9" i="34"/>
  <c r="L11" i="34" s="1"/>
  <c r="N9" i="34"/>
  <c r="N11" i="34" s="1"/>
  <c r="K9" i="34"/>
  <c r="K11" i="34" s="1"/>
  <c r="T9" i="34"/>
  <c r="T11" i="34" s="1"/>
  <c r="R9" i="34"/>
  <c r="R11" i="34" s="1"/>
  <c r="P9" i="34"/>
  <c r="P11" i="34" s="1"/>
  <c r="AO8" i="4"/>
  <c r="AK8" i="4" s="1"/>
  <c r="R8" i="4" s="1"/>
  <c r="AO15" i="4"/>
  <c r="AK15" i="4" s="1"/>
  <c r="R15" i="4" s="1"/>
  <c r="Y38" i="32"/>
  <c r="AO7" i="4"/>
  <c r="AK7" i="4" s="1"/>
  <c r="R7" i="4" s="1"/>
  <c r="AO18" i="4"/>
  <c r="AK18" i="4" s="1"/>
  <c r="R18" i="4" s="1"/>
  <c r="O17" i="32" s="1"/>
  <c r="AO19" i="4"/>
  <c r="AK19" i="4" s="1"/>
  <c r="R19" i="4" s="1"/>
  <c r="O18" i="32" s="1"/>
  <c r="AO9" i="4"/>
  <c r="AK9" i="4" s="1"/>
  <c r="R9" i="4" s="1"/>
  <c r="Y34" i="32"/>
  <c r="R17" i="4"/>
  <c r="R10" i="4"/>
  <c r="S10" i="4" s="1"/>
  <c r="U10" i="4" s="1"/>
  <c r="AO12" i="4"/>
  <c r="AK12" i="4" s="1"/>
  <c r="R12" i="4" s="1"/>
  <c r="Z31" i="32" s="1"/>
  <c r="AA31" i="32" s="1"/>
  <c r="R13" i="4"/>
  <c r="S13" i="4" s="1"/>
  <c r="U13" i="4" s="1"/>
  <c r="R6" i="4"/>
  <c r="S6" i="4" s="1"/>
  <c r="U6" i="4" s="1"/>
  <c r="W6" i="4" s="1"/>
  <c r="AO14" i="4"/>
  <c r="AK14" i="4" s="1"/>
  <c r="R14" i="4" s="1"/>
  <c r="Y33" i="32"/>
  <c r="AI5" i="32"/>
  <c r="Y25" i="32"/>
  <c r="O10" i="32"/>
  <c r="S11" i="4"/>
  <c r="U11" i="4" s="1"/>
  <c r="AV5" i="32"/>
  <c r="AU5" i="32"/>
  <c r="AU4" i="32"/>
  <c r="AV4" i="32"/>
  <c r="I58" i="30"/>
  <c r="AD75" i="30" l="1"/>
  <c r="AJ75" i="30"/>
  <c r="AX19" i="32"/>
  <c r="I17" i="34"/>
  <c r="I18" i="34" s="1"/>
  <c r="K17" i="34"/>
  <c r="K18" i="34" s="1"/>
  <c r="L17" i="34"/>
  <c r="L18" i="34" s="1"/>
  <c r="U17" i="34"/>
  <c r="U18" i="34" s="1"/>
  <c r="H17" i="34"/>
  <c r="H18" i="34" s="1"/>
  <c r="M17" i="34"/>
  <c r="M18" i="34" s="1"/>
  <c r="S17" i="34"/>
  <c r="S18" i="34" s="1"/>
  <c r="Q17" i="34"/>
  <c r="Q18" i="34" s="1"/>
  <c r="N17" i="34"/>
  <c r="N18" i="34" s="1"/>
  <c r="J17" i="34"/>
  <c r="J18" i="34" s="1"/>
  <c r="J26" i="34" s="1"/>
  <c r="J38" i="34" s="1"/>
  <c r="G17" i="34"/>
  <c r="G18" i="34" s="1"/>
  <c r="T17" i="34"/>
  <c r="T18" i="34" s="1"/>
  <c r="R17" i="34"/>
  <c r="R18" i="34" s="1"/>
  <c r="R24" i="34" s="1"/>
  <c r="R36" i="34" s="1"/>
  <c r="R52" i="34" s="1"/>
  <c r="O17" i="34"/>
  <c r="O18" i="34" s="1"/>
  <c r="P17" i="34"/>
  <c r="P18" i="34" s="1"/>
  <c r="E45" i="30"/>
  <c r="D46" i="30"/>
  <c r="D52" i="30" s="1"/>
  <c r="Z7" i="4"/>
  <c r="AA6" i="4"/>
  <c r="AB6" i="4" s="1"/>
  <c r="D8" i="4"/>
  <c r="E7" i="4"/>
  <c r="G7" i="4" s="1"/>
  <c r="H6" i="4"/>
  <c r="I6" i="4"/>
  <c r="AL75" i="30"/>
  <c r="AC75" i="30"/>
  <c r="AG75" i="30"/>
  <c r="AF75" i="30"/>
  <c r="AH75" i="30"/>
  <c r="AE75" i="30"/>
  <c r="AB75" i="30"/>
  <c r="AO20" i="4"/>
  <c r="AK20" i="4" s="1"/>
  <c r="R20" i="4" s="1"/>
  <c r="S20" i="4" s="1"/>
  <c r="U20" i="4" s="1"/>
  <c r="V20" i="4" s="1"/>
  <c r="S18" i="4"/>
  <c r="U18" i="4" s="1"/>
  <c r="V18" i="4" s="1"/>
  <c r="S12" i="4"/>
  <c r="U12" i="4" s="1"/>
  <c r="V12" i="4" s="1"/>
  <c r="AK75" i="30"/>
  <c r="AM75" i="30"/>
  <c r="H37" i="30"/>
  <c r="G48" i="30"/>
  <c r="G51" i="30" s="1"/>
  <c r="AW75" i="30" s="1"/>
  <c r="G40" i="30"/>
  <c r="N8" i="32" s="1"/>
  <c r="AB76" i="30"/>
  <c r="AJ76" i="30"/>
  <c r="AI76" i="30"/>
  <c r="AG76" i="30"/>
  <c r="AE76" i="30"/>
  <c r="AL76" i="30"/>
  <c r="AM76" i="30"/>
  <c r="AH76" i="30"/>
  <c r="AF76" i="30"/>
  <c r="AC76" i="30"/>
  <c r="AD76" i="30"/>
  <c r="AK76" i="30"/>
  <c r="Z37" i="32"/>
  <c r="AA37" i="32" s="1"/>
  <c r="O11" i="32"/>
  <c r="S8" i="4"/>
  <c r="U8" i="4" s="1"/>
  <c r="V8" i="4" s="1"/>
  <c r="O7" i="32"/>
  <c r="Z28" i="32"/>
  <c r="AA28" i="32" s="1"/>
  <c r="O8" i="32"/>
  <c r="Z32" i="32"/>
  <c r="AA32" i="32" s="1"/>
  <c r="Z35" i="32"/>
  <c r="AA35" i="32" s="1"/>
  <c r="O15" i="32"/>
  <c r="E43" i="1"/>
  <c r="C16" i="1"/>
  <c r="E16" i="1" s="1"/>
  <c r="C44" i="1"/>
  <c r="E42" i="1"/>
  <c r="C15" i="1"/>
  <c r="H50" i="30"/>
  <c r="I39" i="30"/>
  <c r="M21" i="32"/>
  <c r="P4" i="32"/>
  <c r="Q4" i="32" s="1"/>
  <c r="V4" i="32" s="1"/>
  <c r="N5" i="32"/>
  <c r="N6" i="32"/>
  <c r="N7" i="32"/>
  <c r="S17" i="4"/>
  <c r="U17" i="4" s="1"/>
  <c r="V17" i="4" s="1"/>
  <c r="O16" i="32"/>
  <c r="Z33" i="32"/>
  <c r="AA33" i="32" s="1"/>
  <c r="O13" i="32"/>
  <c r="S14" i="4"/>
  <c r="U14" i="4" s="1"/>
  <c r="V14" i="4" s="1"/>
  <c r="S19" i="4"/>
  <c r="U19" i="4" s="1"/>
  <c r="Z38" i="32"/>
  <c r="AA38" i="32" s="1"/>
  <c r="S15" i="4"/>
  <c r="U15" i="4" s="1"/>
  <c r="W15" i="4" s="1"/>
  <c r="Z34" i="32"/>
  <c r="AA34" i="32" s="1"/>
  <c r="O14" i="32"/>
  <c r="O6" i="32"/>
  <c r="Z26" i="32"/>
  <c r="AA26" i="32" s="1"/>
  <c r="S7" i="4"/>
  <c r="U7" i="4" s="1"/>
  <c r="V7" i="4" s="1"/>
  <c r="O12" i="32"/>
  <c r="S9" i="4"/>
  <c r="U9" i="4" s="1"/>
  <c r="V9" i="4" s="1"/>
  <c r="Z36" i="32"/>
  <c r="AA36" i="32" s="1"/>
  <c r="O5" i="32"/>
  <c r="S16" i="4"/>
  <c r="U16" i="4" s="1"/>
  <c r="W16" i="4" s="1"/>
  <c r="V6" i="4"/>
  <c r="X6" i="4" s="1"/>
  <c r="D71" i="25" s="1"/>
  <c r="Z27" i="32"/>
  <c r="AA27" i="32" s="1"/>
  <c r="Z29" i="32"/>
  <c r="AA29" i="32" s="1"/>
  <c r="W10" i="4"/>
  <c r="V10" i="4"/>
  <c r="AW4" i="32"/>
  <c r="AY4" i="32" s="1"/>
  <c r="AZ4" i="32" s="1"/>
  <c r="AW5" i="32"/>
  <c r="AY5" i="32" s="1"/>
  <c r="AZ5" i="32" s="1"/>
  <c r="O9" i="32"/>
  <c r="Z25" i="32"/>
  <c r="AA25" i="32" s="1"/>
  <c r="AJ6" i="32"/>
  <c r="AI6" i="32" s="1"/>
  <c r="AJ7" i="32" s="1"/>
  <c r="AS7" i="32" s="1"/>
  <c r="AT7" i="32" s="1"/>
  <c r="V11" i="4"/>
  <c r="W11" i="4"/>
  <c r="W13" i="4"/>
  <c r="V13" i="4"/>
  <c r="J58" i="30"/>
  <c r="M26" i="34" l="1"/>
  <c r="M38" i="34" s="1"/>
  <c r="M19" i="34"/>
  <c r="R26" i="34"/>
  <c r="R38" i="34" s="1"/>
  <c r="N25" i="34"/>
  <c r="N37" i="34" s="1"/>
  <c r="N24" i="34"/>
  <c r="N36" i="34" s="1"/>
  <c r="N52" i="34" s="1"/>
  <c r="J6" i="4"/>
  <c r="R19" i="34"/>
  <c r="R25" i="34"/>
  <c r="R37" i="34" s="1"/>
  <c r="O25" i="34"/>
  <c r="O37" i="34" s="1"/>
  <c r="O24" i="34"/>
  <c r="O36" i="34" s="1"/>
  <c r="O52" i="34" s="1"/>
  <c r="O26" i="34"/>
  <c r="O38" i="34" s="1"/>
  <c r="O19" i="34"/>
  <c r="U25" i="34"/>
  <c r="U37" i="34" s="1"/>
  <c r="U24" i="34"/>
  <c r="U36" i="34" s="1"/>
  <c r="U52" i="34" s="1"/>
  <c r="Q25" i="34"/>
  <c r="Q37" i="34" s="1"/>
  <c r="Q26" i="34"/>
  <c r="Q38" i="34" s="1"/>
  <c r="N26" i="34"/>
  <c r="N38" i="34" s="1"/>
  <c r="J19" i="34"/>
  <c r="N19" i="34"/>
  <c r="H25" i="34"/>
  <c r="H37" i="34" s="1"/>
  <c r="H19" i="34"/>
  <c r="H26" i="34"/>
  <c r="H38" i="34" s="1"/>
  <c r="H24" i="34"/>
  <c r="H36" i="34" s="1"/>
  <c r="H52" i="34" s="1"/>
  <c r="I26" i="34"/>
  <c r="I38" i="34" s="1"/>
  <c r="I19" i="34"/>
  <c r="I25" i="34"/>
  <c r="I37" i="34" s="1"/>
  <c r="I24" i="34"/>
  <c r="I36" i="34" s="1"/>
  <c r="I52" i="34" s="1"/>
  <c r="T24" i="34"/>
  <c r="T36" i="34" s="1"/>
  <c r="T52" i="34" s="1"/>
  <c r="T26" i="34"/>
  <c r="T38" i="34" s="1"/>
  <c r="T19" i="34"/>
  <c r="T25" i="34"/>
  <c r="T37" i="34" s="1"/>
  <c r="P25" i="34"/>
  <c r="P37" i="34" s="1"/>
  <c r="P19" i="34"/>
  <c r="P26" i="34"/>
  <c r="P38" i="34" s="1"/>
  <c r="P24" i="34"/>
  <c r="P36" i="34" s="1"/>
  <c r="P52" i="34" s="1"/>
  <c r="G26" i="34"/>
  <c r="G38" i="34" s="1"/>
  <c r="G19" i="34"/>
  <c r="G25" i="34"/>
  <c r="G37" i="34" s="1"/>
  <c r="D18" i="34"/>
  <c r="G24" i="34"/>
  <c r="G36" i="34" s="1"/>
  <c r="S26" i="34"/>
  <c r="S38" i="34" s="1"/>
  <c r="S19" i="34"/>
  <c r="S24" i="34"/>
  <c r="S36" i="34" s="1"/>
  <c r="S52" i="34" s="1"/>
  <c r="S25" i="34"/>
  <c r="S37" i="34" s="1"/>
  <c r="L25" i="34"/>
  <c r="L37" i="34" s="1"/>
  <c r="L19" i="34"/>
  <c r="L26" i="34"/>
  <c r="L38" i="34" s="1"/>
  <c r="L24" i="34"/>
  <c r="L36" i="34" s="1"/>
  <c r="L52" i="34" s="1"/>
  <c r="C105" i="25"/>
  <c r="G5" i="19"/>
  <c r="C105" i="26"/>
  <c r="C71" i="26"/>
  <c r="C73" i="26" s="1"/>
  <c r="C71" i="25"/>
  <c r="C73" i="25" s="1"/>
  <c r="K19" i="34"/>
  <c r="K25" i="34"/>
  <c r="K37" i="34" s="1"/>
  <c r="K24" i="34"/>
  <c r="K36" i="34" s="1"/>
  <c r="K52" i="34" s="1"/>
  <c r="K26" i="34"/>
  <c r="K38" i="34" s="1"/>
  <c r="D72" i="26"/>
  <c r="F22" i="22"/>
  <c r="C23" i="31"/>
  <c r="E20" i="25"/>
  <c r="S5" i="32"/>
  <c r="T5" i="32" s="1"/>
  <c r="U5" i="32" s="1"/>
  <c r="E20" i="26"/>
  <c r="D72" i="25"/>
  <c r="D73" i="25" s="1"/>
  <c r="E73" i="25" s="1"/>
  <c r="M25" i="34"/>
  <c r="M37" i="34" s="1"/>
  <c r="U26" i="34"/>
  <c r="U38" i="34" s="1"/>
  <c r="J25" i="34"/>
  <c r="J37" i="34" s="1"/>
  <c r="Q24" i="34"/>
  <c r="Q36" i="34" s="1"/>
  <c r="Q52" i="34" s="1"/>
  <c r="AA7" i="4"/>
  <c r="AB7" i="4" s="1"/>
  <c r="S6" i="32" s="1"/>
  <c r="T6" i="32" s="1"/>
  <c r="U6" i="32" s="1"/>
  <c r="Z8" i="4"/>
  <c r="M24" i="34"/>
  <c r="M36" i="34" s="1"/>
  <c r="M52" i="34" s="1"/>
  <c r="U19" i="34"/>
  <c r="J24" i="34"/>
  <c r="J36" i="34" s="1"/>
  <c r="J52" i="34" s="1"/>
  <c r="Q19" i="34"/>
  <c r="I7" i="4"/>
  <c r="H7" i="4"/>
  <c r="G60" i="30"/>
  <c r="M60" i="30"/>
  <c r="F60" i="30"/>
  <c r="D60" i="30"/>
  <c r="K60" i="30"/>
  <c r="I60" i="30"/>
  <c r="H60" i="30"/>
  <c r="O60" i="30"/>
  <c r="N60" i="30"/>
  <c r="L60" i="30"/>
  <c r="E60" i="30"/>
  <c r="J60" i="30"/>
  <c r="D9" i="4"/>
  <c r="E8" i="4"/>
  <c r="G8" i="4" s="1"/>
  <c r="E46" i="30"/>
  <c r="E52" i="30" s="1"/>
  <c r="F45" i="30"/>
  <c r="O19" i="32"/>
  <c r="O21" i="32" s="1"/>
  <c r="Z39" i="32"/>
  <c r="AA39" i="32" s="1"/>
  <c r="W12" i="4"/>
  <c r="X12" i="4" s="1"/>
  <c r="W18" i="4"/>
  <c r="X18" i="4" s="1"/>
  <c r="W9" i="4"/>
  <c r="X9" i="4" s="1"/>
  <c r="AS75" i="30"/>
  <c r="P6" i="32"/>
  <c r="Q6" i="32" s="1"/>
  <c r="AU75" i="30"/>
  <c r="AQ75" i="30"/>
  <c r="AV75" i="30"/>
  <c r="AN75" i="30"/>
  <c r="AP75" i="30"/>
  <c r="AT76" i="30"/>
  <c r="AO76" i="30"/>
  <c r="AY76" i="30"/>
  <c r="AS76" i="30"/>
  <c r="AN76" i="30"/>
  <c r="AU76" i="30"/>
  <c r="AV76" i="30"/>
  <c r="AW76" i="30"/>
  <c r="AQ76" i="30"/>
  <c r="AR76" i="30"/>
  <c r="AP76" i="30"/>
  <c r="AX76" i="30"/>
  <c r="AY75" i="30"/>
  <c r="AO75" i="30"/>
  <c r="AT75" i="30"/>
  <c r="AR75" i="30"/>
  <c r="AX75" i="30"/>
  <c r="I37" i="30"/>
  <c r="H48" i="30"/>
  <c r="H51" i="30" s="1"/>
  <c r="BC75" i="30" s="1"/>
  <c r="H40" i="30"/>
  <c r="W8" i="4"/>
  <c r="X8" i="4" s="1"/>
  <c r="W7" i="4"/>
  <c r="X7" i="4" s="1"/>
  <c r="AD7" i="4" s="1"/>
  <c r="W14" i="4"/>
  <c r="X14" i="4" s="1"/>
  <c r="V15" i="4"/>
  <c r="X15" i="4" s="1"/>
  <c r="P5" i="32"/>
  <c r="Q5" i="32" s="1"/>
  <c r="E44" i="1"/>
  <c r="C17" i="1"/>
  <c r="C46" i="1"/>
  <c r="P8" i="32"/>
  <c r="Q8" i="32" s="1"/>
  <c r="J39" i="30"/>
  <c r="I50" i="30"/>
  <c r="BF75" i="30"/>
  <c r="W17" i="4"/>
  <c r="X17" i="4" s="1"/>
  <c r="E15" i="1"/>
  <c r="P7" i="32"/>
  <c r="Q7" i="32" s="1"/>
  <c r="W19" i="4"/>
  <c r="V19" i="4"/>
  <c r="V16" i="4"/>
  <c r="X16" i="4" s="1"/>
  <c r="W20" i="4"/>
  <c r="X20" i="4" s="1"/>
  <c r="X10" i="4"/>
  <c r="X13" i="4"/>
  <c r="X11" i="4"/>
  <c r="AS6" i="32"/>
  <c r="AT6" i="32" s="1"/>
  <c r="AD6" i="4"/>
  <c r="D71" i="26"/>
  <c r="AU7" i="32"/>
  <c r="AV7" i="32"/>
  <c r="AI7" i="32"/>
  <c r="K58" i="30"/>
  <c r="G44" i="34" l="1"/>
  <c r="G48" i="34" s="1"/>
  <c r="G43" i="34"/>
  <c r="G47" i="34" s="1"/>
  <c r="M44" i="34"/>
  <c r="M48" i="34" s="1"/>
  <c r="J43" i="34"/>
  <c r="J47" i="34" s="1"/>
  <c r="D73" i="26"/>
  <c r="E73" i="26" s="1"/>
  <c r="V6" i="32"/>
  <c r="J61" i="30"/>
  <c r="P43" i="34"/>
  <c r="P47" i="34" s="1"/>
  <c r="H44" i="34"/>
  <c r="H48" i="34" s="1"/>
  <c r="O43" i="34"/>
  <c r="O47" i="34" s="1"/>
  <c r="J7" i="4"/>
  <c r="AE7" i="4" s="1"/>
  <c r="L64" i="30"/>
  <c r="L62" i="30"/>
  <c r="L43" i="34"/>
  <c r="L47" i="34" s="1"/>
  <c r="K43" i="34"/>
  <c r="K47" i="34" s="1"/>
  <c r="N43" i="34"/>
  <c r="N47" i="34" s="1"/>
  <c r="D24" i="34"/>
  <c r="D25" i="34" s="1"/>
  <c r="O44" i="34"/>
  <c r="O48" i="34" s="1"/>
  <c r="J44" i="34"/>
  <c r="J48" i="34" s="1"/>
  <c r="D10" i="4"/>
  <c r="E9" i="4"/>
  <c r="G9" i="4" s="1"/>
  <c r="N62" i="30"/>
  <c r="N64" i="30"/>
  <c r="K62" i="30"/>
  <c r="K64" i="30"/>
  <c r="G62" i="30"/>
  <c r="G64" i="30"/>
  <c r="AA8" i="4"/>
  <c r="AB8" i="4" s="1"/>
  <c r="S7" i="32" s="1"/>
  <c r="T7" i="32" s="1"/>
  <c r="U7" i="32" s="1"/>
  <c r="V7" i="32" s="1"/>
  <c r="Z9" i="4"/>
  <c r="H8" i="4"/>
  <c r="I8" i="4"/>
  <c r="M64" i="30"/>
  <c r="M62" i="30"/>
  <c r="M43" i="34"/>
  <c r="M47" i="34" s="1"/>
  <c r="I43" i="34"/>
  <c r="I47" i="34" s="1"/>
  <c r="P44" i="34"/>
  <c r="P48" i="34" s="1"/>
  <c r="I44" i="34"/>
  <c r="I48" i="34" s="1"/>
  <c r="L44" i="34"/>
  <c r="L48" i="34" s="1"/>
  <c r="F46" i="30"/>
  <c r="F52" i="30" s="1"/>
  <c r="G45" i="30"/>
  <c r="J64" i="30"/>
  <c r="J62" i="30"/>
  <c r="O62" i="30"/>
  <c r="O64" i="30"/>
  <c r="D61" i="30"/>
  <c r="H61" i="30"/>
  <c r="D64" i="30"/>
  <c r="E61" i="30"/>
  <c r="D62" i="30"/>
  <c r="F61" i="30"/>
  <c r="G61" i="30"/>
  <c r="I61" i="30"/>
  <c r="I62" i="30"/>
  <c r="I64" i="30"/>
  <c r="H43" i="34"/>
  <c r="H47" i="34" s="1"/>
  <c r="K44" i="34"/>
  <c r="K48" i="34" s="1"/>
  <c r="N44" i="34"/>
  <c r="N48" i="34" s="1"/>
  <c r="P60" i="30"/>
  <c r="X60" i="30"/>
  <c r="Q60" i="30"/>
  <c r="V60" i="30"/>
  <c r="R60" i="30"/>
  <c r="Z60" i="30"/>
  <c r="S60" i="30"/>
  <c r="T60" i="30"/>
  <c r="Y60" i="30"/>
  <c r="U60" i="30"/>
  <c r="AA60" i="30"/>
  <c r="W60" i="30"/>
  <c r="E62" i="30"/>
  <c r="E64" i="30"/>
  <c r="H62" i="30"/>
  <c r="H64" i="30"/>
  <c r="F64" i="30"/>
  <c r="F62" i="30"/>
  <c r="AZ75" i="30"/>
  <c r="BA75" i="30"/>
  <c r="BJ75" i="30"/>
  <c r="BI75" i="30"/>
  <c r="BK75" i="30"/>
  <c r="BD75" i="30"/>
  <c r="BB75" i="30"/>
  <c r="BG75" i="30"/>
  <c r="BE75" i="30"/>
  <c r="BH75" i="30"/>
  <c r="N9" i="32"/>
  <c r="P9" i="32" s="1"/>
  <c r="Q9" i="32" s="1"/>
  <c r="BB76" i="30"/>
  <c r="BF76" i="30"/>
  <c r="BA76" i="30"/>
  <c r="BG76" i="30"/>
  <c r="BK76" i="30"/>
  <c r="BD76" i="30"/>
  <c r="BE76" i="30"/>
  <c r="AZ76" i="30"/>
  <c r="BH76" i="30"/>
  <c r="BC76" i="30"/>
  <c r="BI76" i="30"/>
  <c r="BJ76" i="30"/>
  <c r="I48" i="30"/>
  <c r="I51" i="30" s="1"/>
  <c r="J37" i="30"/>
  <c r="I40" i="30"/>
  <c r="X19" i="4"/>
  <c r="E46" i="1"/>
  <c r="C47" i="1"/>
  <c r="E47" i="1" s="1"/>
  <c r="C49" i="1"/>
  <c r="E49" i="1" s="1"/>
  <c r="C50" i="1"/>
  <c r="E50" i="1" s="1"/>
  <c r="D44" i="1"/>
  <c r="E17" i="1"/>
  <c r="C19" i="1"/>
  <c r="K39" i="30"/>
  <c r="J50" i="30"/>
  <c r="G42" i="34"/>
  <c r="G46" i="34" s="1"/>
  <c r="I42" i="34"/>
  <c r="N42" i="34"/>
  <c r="N46" i="34" s="1"/>
  <c r="H42" i="34"/>
  <c r="H46" i="34" s="1"/>
  <c r="D36" i="34"/>
  <c r="P42" i="34"/>
  <c r="M42" i="34"/>
  <c r="M46" i="34" s="1"/>
  <c r="J42" i="34"/>
  <c r="J46" i="34" s="1"/>
  <c r="L42" i="34"/>
  <c r="L46" i="34" s="1"/>
  <c r="G52" i="34"/>
  <c r="O42" i="34"/>
  <c r="O46" i="34" s="1"/>
  <c r="K42" i="34"/>
  <c r="K46" i="34" s="1"/>
  <c r="AU6" i="32"/>
  <c r="AV6" i="32"/>
  <c r="AE6" i="4"/>
  <c r="G8" i="19"/>
  <c r="V5" i="32"/>
  <c r="AW7" i="32"/>
  <c r="AY7" i="32" s="1"/>
  <c r="AZ7" i="32" s="1"/>
  <c r="AJ8" i="32"/>
  <c r="L58" i="30"/>
  <c r="K61" i="30"/>
  <c r="C106" i="25" l="1"/>
  <c r="AD8" i="4"/>
  <c r="C106" i="26"/>
  <c r="J8" i="4"/>
  <c r="G106" i="25"/>
  <c r="F6" i="32"/>
  <c r="G106" i="26"/>
  <c r="AF7" i="4"/>
  <c r="H45" i="30"/>
  <c r="G46" i="30"/>
  <c r="G52" i="30" s="1"/>
  <c r="Z10" i="4"/>
  <c r="AA9" i="4"/>
  <c r="AB9" i="4" s="1"/>
  <c r="H9" i="4"/>
  <c r="I9" i="4"/>
  <c r="U62" i="30"/>
  <c r="U64" i="30"/>
  <c r="Z62" i="30"/>
  <c r="Z64" i="30"/>
  <c r="X64" i="30"/>
  <c r="X62" i="30"/>
  <c r="AF60" i="30"/>
  <c r="AM60" i="30"/>
  <c r="AD60" i="30"/>
  <c r="AG60" i="30"/>
  <c r="AJ60" i="30"/>
  <c r="AC60" i="30"/>
  <c r="AL60" i="30"/>
  <c r="AI60" i="30"/>
  <c r="AE60" i="30"/>
  <c r="AK60" i="30"/>
  <c r="AH60" i="30"/>
  <c r="AB60" i="30"/>
  <c r="D11" i="4"/>
  <c r="E10" i="4"/>
  <c r="G10" i="4" s="1"/>
  <c r="S62" i="30"/>
  <c r="S64" i="30"/>
  <c r="Y62" i="30"/>
  <c r="Y64" i="30"/>
  <c r="R64" i="30"/>
  <c r="R62" i="30"/>
  <c r="P64" i="30"/>
  <c r="P62" i="30"/>
  <c r="C107" i="26"/>
  <c r="AA62" i="30"/>
  <c r="AA64" i="30"/>
  <c r="Q62" i="30"/>
  <c r="Q64" i="30"/>
  <c r="W64" i="30"/>
  <c r="W62" i="30"/>
  <c r="T62" i="30"/>
  <c r="T64" i="30"/>
  <c r="V64" i="30"/>
  <c r="V62" i="30"/>
  <c r="C48" i="1"/>
  <c r="BL75" i="30"/>
  <c r="BW75" i="30"/>
  <c r="BR75" i="30"/>
  <c r="BP75" i="30"/>
  <c r="BV75" i="30"/>
  <c r="BM75" i="30"/>
  <c r="BU75" i="30"/>
  <c r="BN75" i="30"/>
  <c r="BQ75" i="30"/>
  <c r="BT75" i="30"/>
  <c r="BS75" i="30"/>
  <c r="BO75" i="30"/>
  <c r="BN76" i="30"/>
  <c r="BP76" i="30"/>
  <c r="BR76" i="30"/>
  <c r="BV76" i="30"/>
  <c r="BU76" i="30"/>
  <c r="BM76" i="30"/>
  <c r="BO76" i="30"/>
  <c r="BL76" i="30"/>
  <c r="BW76" i="30"/>
  <c r="BS76" i="30"/>
  <c r="BQ76" i="30"/>
  <c r="BT76" i="30"/>
  <c r="N10" i="32"/>
  <c r="P10" i="32" s="1"/>
  <c r="Q10" i="32" s="1"/>
  <c r="J48" i="30"/>
  <c r="J51" i="30" s="1"/>
  <c r="K37" i="30"/>
  <c r="J40" i="30"/>
  <c r="K50" i="30"/>
  <c r="L39" i="30"/>
  <c r="C23" i="1"/>
  <c r="E23" i="1" s="1"/>
  <c r="E19" i="1"/>
  <c r="C20" i="1"/>
  <c r="E20" i="1" s="1"/>
  <c r="C22" i="1"/>
  <c r="E22" i="1" s="1"/>
  <c r="D17" i="1"/>
  <c r="C51" i="1"/>
  <c r="D3" i="30"/>
  <c r="C3" i="30"/>
  <c r="D42" i="34"/>
  <c r="C39" i="34"/>
  <c r="P46" i="34"/>
  <c r="D46" i="34" s="1"/>
  <c r="I40" i="34"/>
  <c r="I46" i="34"/>
  <c r="K40" i="30"/>
  <c r="E48" i="1"/>
  <c r="F16" i="22"/>
  <c r="AW6" i="32"/>
  <c r="AY6" i="32" s="1"/>
  <c r="AZ6" i="32" s="1"/>
  <c r="G105" i="26"/>
  <c r="AF6" i="4"/>
  <c r="G9" i="19" s="1"/>
  <c r="F5" i="32"/>
  <c r="G105" i="25"/>
  <c r="AS8" i="32"/>
  <c r="AT8" i="32" s="1"/>
  <c r="AU8" i="32" s="1"/>
  <c r="AI8" i="32"/>
  <c r="L61" i="30"/>
  <c r="M58" i="30"/>
  <c r="AE8" i="4" l="1"/>
  <c r="F7" i="32" s="1"/>
  <c r="E7" i="32" s="1"/>
  <c r="G7" i="32"/>
  <c r="G6" i="32"/>
  <c r="C107" i="25"/>
  <c r="J9" i="4"/>
  <c r="C108" i="25" s="1"/>
  <c r="AF8" i="4"/>
  <c r="G107" i="25"/>
  <c r="AB64" i="30"/>
  <c r="AB62" i="30"/>
  <c r="AG62" i="30"/>
  <c r="AG64" i="30"/>
  <c r="C108" i="26"/>
  <c r="AY60" i="30"/>
  <c r="AS60" i="30"/>
  <c r="AU60" i="30"/>
  <c r="AN60" i="30"/>
  <c r="AQ60" i="30"/>
  <c r="AO60" i="30"/>
  <c r="AW60" i="30"/>
  <c r="AV60" i="30"/>
  <c r="AX60" i="30"/>
  <c r="AR60" i="30"/>
  <c r="AT60" i="30"/>
  <c r="AP60" i="30"/>
  <c r="AH64" i="30"/>
  <c r="AH62" i="30"/>
  <c r="AL62" i="30"/>
  <c r="AL64" i="30"/>
  <c r="AD64" i="30"/>
  <c r="AD62" i="30"/>
  <c r="I45" i="30"/>
  <c r="H46" i="30"/>
  <c r="H52" i="30" s="1"/>
  <c r="H10" i="4"/>
  <c r="I10" i="4"/>
  <c r="AK62" i="30"/>
  <c r="AK64" i="30"/>
  <c r="AC64" i="30"/>
  <c r="AC62" i="30"/>
  <c r="AM64" i="30"/>
  <c r="AM62" i="30"/>
  <c r="S8" i="32"/>
  <c r="T8" i="32" s="1"/>
  <c r="U8" i="32" s="1"/>
  <c r="V8" i="32" s="1"/>
  <c r="AD9" i="4"/>
  <c r="AE9" i="4" s="1"/>
  <c r="AI62" i="30"/>
  <c r="AI64" i="30"/>
  <c r="D12" i="4"/>
  <c r="E11" i="4"/>
  <c r="G11" i="4" s="1"/>
  <c r="AE62" i="30"/>
  <c r="AE64" i="30"/>
  <c r="AJ62" i="30"/>
  <c r="AJ64" i="30"/>
  <c r="AF64" i="30"/>
  <c r="AF62" i="30"/>
  <c r="AA10" i="4"/>
  <c r="AB10" i="4" s="1"/>
  <c r="Z11" i="4"/>
  <c r="CG75" i="30"/>
  <c r="BX75" i="30"/>
  <c r="CH75" i="30"/>
  <c r="CA75" i="30"/>
  <c r="CC75" i="30"/>
  <c r="CB75" i="30"/>
  <c r="CI75" i="30"/>
  <c r="CD75" i="30"/>
  <c r="BZ75" i="30"/>
  <c r="CF75" i="30"/>
  <c r="BY75" i="30"/>
  <c r="CE75" i="30"/>
  <c r="BX76" i="30"/>
  <c r="CH76" i="30"/>
  <c r="CC76" i="30"/>
  <c r="BZ76" i="30"/>
  <c r="CB76" i="30"/>
  <c r="CA76" i="30"/>
  <c r="CD76" i="30"/>
  <c r="BY76" i="30"/>
  <c r="CG76" i="30"/>
  <c r="CE76" i="30"/>
  <c r="CI76" i="30"/>
  <c r="CF76" i="30"/>
  <c r="N11" i="32"/>
  <c r="P11" i="32" s="1"/>
  <c r="Q11" i="32" s="1"/>
  <c r="L37" i="30"/>
  <c r="K48" i="30"/>
  <c r="K51" i="30" s="1"/>
  <c r="C21" i="1"/>
  <c r="AV8" i="32"/>
  <c r="AW8" i="32" s="1"/>
  <c r="AY8" i="32" s="1"/>
  <c r="AZ8" i="32" s="1"/>
  <c r="CM76" i="30"/>
  <c r="CO76" i="30"/>
  <c r="CL76" i="30"/>
  <c r="CN76" i="30"/>
  <c r="CS76" i="30"/>
  <c r="CU76" i="30"/>
  <c r="CJ76" i="30"/>
  <c r="CP76" i="30"/>
  <c r="CQ76" i="30"/>
  <c r="CR76" i="30"/>
  <c r="CT76" i="30"/>
  <c r="CK76" i="30"/>
  <c r="N12" i="32"/>
  <c r="D54" i="1"/>
  <c r="C52" i="1"/>
  <c r="E52" i="1" s="1"/>
  <c r="E51" i="1"/>
  <c r="D2" i="30" s="1"/>
  <c r="D4" i="30" s="1"/>
  <c r="D5" i="30" s="1"/>
  <c r="M39" i="30"/>
  <c r="L50" i="30"/>
  <c r="D49" i="34"/>
  <c r="C24" i="1"/>
  <c r="E4" i="32"/>
  <c r="E5" i="32"/>
  <c r="E6" i="32"/>
  <c r="AJ9" i="32"/>
  <c r="AI9" i="32" s="1"/>
  <c r="N58" i="30"/>
  <c r="N61" i="30" s="1"/>
  <c r="M61" i="30"/>
  <c r="G107" i="26" l="1"/>
  <c r="J10" i="4"/>
  <c r="BE60" i="30"/>
  <c r="BI60" i="30"/>
  <c r="BJ60" i="30"/>
  <c r="BA60" i="30"/>
  <c r="BD60" i="30"/>
  <c r="BH60" i="30"/>
  <c r="AZ60" i="30"/>
  <c r="BF60" i="30"/>
  <c r="BK60" i="30"/>
  <c r="BG60" i="30"/>
  <c r="BC60" i="30"/>
  <c r="BB60" i="30"/>
  <c r="AP64" i="30"/>
  <c r="AP62" i="30"/>
  <c r="AV64" i="30"/>
  <c r="AV62" i="30"/>
  <c r="AN64" i="30"/>
  <c r="AN62" i="30"/>
  <c r="AA11" i="4"/>
  <c r="AB11" i="4" s="1"/>
  <c r="Z12" i="4"/>
  <c r="I11" i="4"/>
  <c r="H11" i="4"/>
  <c r="J45" i="30"/>
  <c r="I46" i="30"/>
  <c r="I52" i="30" s="1"/>
  <c r="AT62" i="30"/>
  <c r="AT64" i="30"/>
  <c r="AW62" i="30"/>
  <c r="AW64" i="30"/>
  <c r="AU64" i="30"/>
  <c r="AU62" i="30"/>
  <c r="AD10" i="4"/>
  <c r="AE10" i="4" s="1"/>
  <c r="S9" i="32"/>
  <c r="T9" i="32" s="1"/>
  <c r="U9" i="32" s="1"/>
  <c r="V9" i="32" s="1"/>
  <c r="D13" i="4"/>
  <c r="E12" i="4"/>
  <c r="G12" i="4" s="1"/>
  <c r="AF9" i="4"/>
  <c r="G108" i="25"/>
  <c r="G108" i="26"/>
  <c r="F8" i="32"/>
  <c r="G8" i="32" s="1"/>
  <c r="C109" i="25"/>
  <c r="C109" i="26"/>
  <c r="AR62" i="30"/>
  <c r="AR64" i="30"/>
  <c r="AO62" i="30"/>
  <c r="AO64" i="30"/>
  <c r="AS62" i="30"/>
  <c r="AS64" i="30"/>
  <c r="AX64" i="30"/>
  <c r="AX62" i="30"/>
  <c r="AQ62" i="30"/>
  <c r="AQ64" i="30"/>
  <c r="AY62" i="30"/>
  <c r="AY64" i="30"/>
  <c r="CU75" i="30"/>
  <c r="CT75" i="30"/>
  <c r="CS75" i="30"/>
  <c r="CJ75" i="30"/>
  <c r="CO75" i="30"/>
  <c r="CR75" i="30"/>
  <c r="CL75" i="30"/>
  <c r="CP75" i="30"/>
  <c r="CK75" i="30"/>
  <c r="CQ75" i="30"/>
  <c r="CM75" i="30"/>
  <c r="CN75" i="30"/>
  <c r="L40" i="30"/>
  <c r="M37" i="30"/>
  <c r="M40" i="30" s="1"/>
  <c r="L48" i="30"/>
  <c r="L51" i="30" s="1"/>
  <c r="CY75" i="30" s="1"/>
  <c r="C53" i="1"/>
  <c r="E53" i="1" s="1"/>
  <c r="M50" i="30"/>
  <c r="N39" i="30"/>
  <c r="P12" i="32"/>
  <c r="D27" i="1"/>
  <c r="C25" i="1"/>
  <c r="E25" i="1" s="1"/>
  <c r="AS9" i="32"/>
  <c r="AT9" i="32" s="1"/>
  <c r="AU9" i="32" s="1"/>
  <c r="AJ10" i="32"/>
  <c r="AS10" i="32" s="1"/>
  <c r="AT10" i="32" s="1"/>
  <c r="O58" i="30"/>
  <c r="J11" i="4" l="1"/>
  <c r="AA12" i="4"/>
  <c r="AB12" i="4" s="1"/>
  <c r="Z13" i="4"/>
  <c r="BF62" i="30"/>
  <c r="BF64" i="30"/>
  <c r="G109" i="25"/>
  <c r="G109" i="26"/>
  <c r="F9" i="32"/>
  <c r="AF10" i="4"/>
  <c r="J46" i="30"/>
  <c r="J52" i="30" s="1"/>
  <c r="K45" i="30"/>
  <c r="S10" i="32"/>
  <c r="T10" i="32" s="1"/>
  <c r="U10" i="32" s="1"/>
  <c r="V10" i="32" s="1"/>
  <c r="AD11" i="4"/>
  <c r="AE11" i="4" s="1"/>
  <c r="BC64" i="30"/>
  <c r="BC62" i="30"/>
  <c r="AZ62" i="30"/>
  <c r="AZ64" i="30"/>
  <c r="BJ64" i="30"/>
  <c r="BJ62" i="30"/>
  <c r="BB64" i="30"/>
  <c r="BB62" i="30"/>
  <c r="E8" i="32"/>
  <c r="H12" i="4"/>
  <c r="I12" i="4"/>
  <c r="C110" i="25"/>
  <c r="C110" i="26"/>
  <c r="BG62" i="30"/>
  <c r="BG64" i="30"/>
  <c r="BH64" i="30"/>
  <c r="BH62" i="30"/>
  <c r="BI64" i="30"/>
  <c r="BI62" i="30"/>
  <c r="BR60" i="30"/>
  <c r="BQ60" i="30"/>
  <c r="BU60" i="30"/>
  <c r="BN60" i="30"/>
  <c r="BS60" i="30"/>
  <c r="BP60" i="30"/>
  <c r="BL60" i="30"/>
  <c r="BV60" i="30"/>
  <c r="BM60" i="30"/>
  <c r="BT60" i="30"/>
  <c r="BW60" i="30"/>
  <c r="BO60" i="30"/>
  <c r="BA62" i="30"/>
  <c r="BA64" i="30"/>
  <c r="D14" i="4"/>
  <c r="E13" i="4"/>
  <c r="G13" i="4" s="1"/>
  <c r="BK64" i="30"/>
  <c r="BK62" i="30"/>
  <c r="BD64" i="30"/>
  <c r="BD62" i="30"/>
  <c r="BE64" i="30"/>
  <c r="BE62" i="30"/>
  <c r="CW75" i="30"/>
  <c r="DD75" i="30"/>
  <c r="CZ75" i="30"/>
  <c r="C54" i="1"/>
  <c r="E54" i="1" s="1"/>
  <c r="C2" i="30" s="1"/>
  <c r="DE75" i="30"/>
  <c r="CX75" i="30"/>
  <c r="DF75" i="30"/>
  <c r="DB75" i="30"/>
  <c r="DC75" i="30"/>
  <c r="DA75" i="30"/>
  <c r="DG75" i="30"/>
  <c r="CV75" i="30"/>
  <c r="N37" i="30"/>
  <c r="M48" i="30"/>
  <c r="M51" i="30" s="1"/>
  <c r="CW76" i="30"/>
  <c r="DF76" i="30"/>
  <c r="DA76" i="30"/>
  <c r="N13" i="32"/>
  <c r="P13" i="32" s="1"/>
  <c r="Q13" i="32" s="1"/>
  <c r="CV76" i="30"/>
  <c r="DE76" i="30"/>
  <c r="DG76" i="30"/>
  <c r="CX76" i="30"/>
  <c r="DB76" i="30"/>
  <c r="DC76" i="30"/>
  <c r="DD76" i="30"/>
  <c r="CZ76" i="30"/>
  <c r="CY76" i="30"/>
  <c r="C26" i="1"/>
  <c r="C27" i="1" s="1"/>
  <c r="E27" i="1" s="1"/>
  <c r="AV9" i="32"/>
  <c r="AW9" i="32" s="1"/>
  <c r="AY9" i="32" s="1"/>
  <c r="AZ9" i="32" s="1"/>
  <c r="Q12" i="32"/>
  <c r="O39" i="30"/>
  <c r="N50" i="30"/>
  <c r="DM76" i="30"/>
  <c r="DH76" i="30"/>
  <c r="DR76" i="30"/>
  <c r="DN76" i="30"/>
  <c r="DO76" i="30"/>
  <c r="DQ76" i="30"/>
  <c r="DI76" i="30"/>
  <c r="DJ76" i="30"/>
  <c r="DK76" i="30"/>
  <c r="DS76" i="30"/>
  <c r="DP76" i="30"/>
  <c r="DL76" i="30"/>
  <c r="N14" i="32"/>
  <c r="P14" i="32" s="1"/>
  <c r="Q14" i="32" s="1"/>
  <c r="AI10" i="32"/>
  <c r="AJ11" i="32" s="1"/>
  <c r="AS11" i="32" s="1"/>
  <c r="AT11" i="32" s="1"/>
  <c r="AU10" i="32"/>
  <c r="AV10" i="32"/>
  <c r="P58" i="30"/>
  <c r="O61" i="30"/>
  <c r="E9" i="32" l="1"/>
  <c r="G9" i="32"/>
  <c r="J12" i="4"/>
  <c r="C111" i="25"/>
  <c r="C111" i="26"/>
  <c r="D15" i="4"/>
  <c r="E14" i="4"/>
  <c r="G14" i="4" s="1"/>
  <c r="BW64" i="30"/>
  <c r="BW62" i="30"/>
  <c r="BL64" i="30"/>
  <c r="BL62" i="30"/>
  <c r="BU62" i="30"/>
  <c r="BU64" i="30"/>
  <c r="AF11" i="4"/>
  <c r="G110" i="25"/>
  <c r="G110" i="26"/>
  <c r="F10" i="32"/>
  <c r="BT64" i="30"/>
  <c r="BT62" i="30"/>
  <c r="BP62" i="30"/>
  <c r="BP64" i="30"/>
  <c r="BQ64" i="30"/>
  <c r="BQ62" i="30"/>
  <c r="BM64" i="30"/>
  <c r="BM62" i="30"/>
  <c r="BS62" i="30"/>
  <c r="BS64" i="30"/>
  <c r="BR62" i="30"/>
  <c r="BR64" i="30"/>
  <c r="L45" i="30"/>
  <c r="K46" i="30"/>
  <c r="K52" i="30" s="1"/>
  <c r="AA13" i="4"/>
  <c r="AB13" i="4" s="1"/>
  <c r="Z14" i="4"/>
  <c r="I13" i="4"/>
  <c r="J13" i="4" s="1"/>
  <c r="H13" i="4"/>
  <c r="BO62" i="30"/>
  <c r="BO64" i="30"/>
  <c r="BV62" i="30"/>
  <c r="BV64" i="30"/>
  <c r="BN64" i="30"/>
  <c r="BN62" i="30"/>
  <c r="CD60" i="30"/>
  <c r="CF60" i="30"/>
  <c r="BZ60" i="30"/>
  <c r="CC60" i="30"/>
  <c r="BX60" i="30"/>
  <c r="CE60" i="30"/>
  <c r="CH60" i="30"/>
  <c r="CB60" i="30"/>
  <c r="BY60" i="30"/>
  <c r="CI60" i="30"/>
  <c r="CG60" i="30"/>
  <c r="CA60" i="30"/>
  <c r="AD12" i="4"/>
  <c r="AE12" i="4" s="1"/>
  <c r="S11" i="32"/>
  <c r="T11" i="32" s="1"/>
  <c r="U11" i="32" s="1"/>
  <c r="V11" i="32" s="1"/>
  <c r="AW10" i="32"/>
  <c r="AY10" i="32" s="1"/>
  <c r="AZ10" i="32" s="1"/>
  <c r="G29" i="19"/>
  <c r="G30" i="19" s="1"/>
  <c r="DM75" i="30"/>
  <c r="DO75" i="30"/>
  <c r="DL75" i="30"/>
  <c r="DH75" i="30"/>
  <c r="DP75" i="30"/>
  <c r="DQ75" i="30"/>
  <c r="DI75" i="30"/>
  <c r="DJ75" i="30"/>
  <c r="DR75" i="30"/>
  <c r="DK75" i="30"/>
  <c r="DN75" i="30"/>
  <c r="DS75" i="30"/>
  <c r="N40" i="30"/>
  <c r="N48" i="30"/>
  <c r="N51" i="30" s="1"/>
  <c r="O37" i="30"/>
  <c r="P39" i="30"/>
  <c r="O50" i="30"/>
  <c r="C11" i="30"/>
  <c r="C28" i="30"/>
  <c r="C13" i="30"/>
  <c r="C12" i="30"/>
  <c r="C4" i="30"/>
  <c r="D28" i="30"/>
  <c r="C40" i="34"/>
  <c r="AI11" i="32"/>
  <c r="AU11" i="32"/>
  <c r="AV11" i="32"/>
  <c r="Q58" i="30"/>
  <c r="P61" i="30"/>
  <c r="G10" i="32" l="1"/>
  <c r="C112" i="25"/>
  <c r="C112" i="26"/>
  <c r="G111" i="25"/>
  <c r="G111" i="26"/>
  <c r="F11" i="32"/>
  <c r="AF12" i="4"/>
  <c r="BY64" i="30"/>
  <c r="BY62" i="30"/>
  <c r="BX64" i="30"/>
  <c r="BX62" i="30"/>
  <c r="CD62" i="30"/>
  <c r="CD64" i="30"/>
  <c r="CN60" i="30"/>
  <c r="CK60" i="30"/>
  <c r="CJ60" i="30"/>
  <c r="CP60" i="30"/>
  <c r="CQ60" i="30"/>
  <c r="CU60" i="30"/>
  <c r="CR60" i="30"/>
  <c r="CT60" i="30"/>
  <c r="CM60" i="30"/>
  <c r="CS60" i="30"/>
  <c r="CL60" i="30"/>
  <c r="CO60" i="30"/>
  <c r="I14" i="4"/>
  <c r="H14" i="4"/>
  <c r="CA64" i="30"/>
  <c r="CA62" i="30"/>
  <c r="CB64" i="30"/>
  <c r="CB62" i="30"/>
  <c r="CC62" i="30"/>
  <c r="CC64" i="30"/>
  <c r="L46" i="30"/>
  <c r="L52" i="30" s="1"/>
  <c r="M45" i="30"/>
  <c r="D16" i="4"/>
  <c r="E15" i="4"/>
  <c r="G15" i="4" s="1"/>
  <c r="CG64" i="30"/>
  <c r="CG62" i="30"/>
  <c r="CH62" i="30"/>
  <c r="CH64" i="30"/>
  <c r="BZ64" i="30"/>
  <c r="BZ62" i="30"/>
  <c r="AA14" i="4"/>
  <c r="AB14" i="4" s="1"/>
  <c r="Z15" i="4"/>
  <c r="CI64" i="30"/>
  <c r="CI62" i="30"/>
  <c r="CE64" i="30"/>
  <c r="CE62" i="30"/>
  <c r="CF64" i="30"/>
  <c r="CF62" i="30"/>
  <c r="AD13" i="4"/>
  <c r="AE13" i="4" s="1"/>
  <c r="S12" i="32"/>
  <c r="T12" i="32" s="1"/>
  <c r="U12" i="32" s="1"/>
  <c r="V12" i="32" s="1"/>
  <c r="DU75" i="30"/>
  <c r="EA75" i="30"/>
  <c r="DX75" i="30"/>
  <c r="DY75" i="30"/>
  <c r="EB75" i="30"/>
  <c r="EC75" i="30"/>
  <c r="ED75" i="30"/>
  <c r="DT75" i="30"/>
  <c r="DZ75" i="30"/>
  <c r="DW75" i="30"/>
  <c r="DV75" i="30"/>
  <c r="EE75" i="30"/>
  <c r="N15" i="32"/>
  <c r="P15" i="32" s="1"/>
  <c r="Q15" i="32" s="1"/>
  <c r="EC76" i="30"/>
  <c r="EB76" i="30"/>
  <c r="DT76" i="30"/>
  <c r="DW76" i="30"/>
  <c r="DY76" i="30"/>
  <c r="DU76" i="30"/>
  <c r="EE76" i="30"/>
  <c r="DX76" i="30"/>
  <c r="ED76" i="30"/>
  <c r="DZ76" i="30"/>
  <c r="DV76" i="30"/>
  <c r="EA76" i="30"/>
  <c r="P37" i="30"/>
  <c r="O48" i="30"/>
  <c r="O51" i="30" s="1"/>
  <c r="EJ75" i="30" s="1"/>
  <c r="O40" i="30"/>
  <c r="C64" i="30"/>
  <c r="C62" i="30"/>
  <c r="G32" i="19"/>
  <c r="C5" i="30"/>
  <c r="G33" i="19" s="1"/>
  <c r="C68" i="30"/>
  <c r="D11" i="30"/>
  <c r="D24" i="30"/>
  <c r="D29" i="30" s="1"/>
  <c r="C29" i="30"/>
  <c r="P50" i="30"/>
  <c r="Q39" i="30"/>
  <c r="C72" i="30"/>
  <c r="Q81" i="30" s="1"/>
  <c r="C30" i="30"/>
  <c r="D12" i="30"/>
  <c r="C31" i="30"/>
  <c r="C6" i="30"/>
  <c r="C8" i="30" s="1"/>
  <c r="D6" i="30"/>
  <c r="D8" i="30" s="1"/>
  <c r="D9" i="30" s="1"/>
  <c r="D13" i="30"/>
  <c r="C74" i="30"/>
  <c r="C77" i="30"/>
  <c r="P40" i="30"/>
  <c r="AW11" i="32"/>
  <c r="AY11" i="32" s="1"/>
  <c r="AZ11" i="32" s="1"/>
  <c r="AJ12" i="32"/>
  <c r="AS12" i="32" s="1"/>
  <c r="AT12" i="32" s="1"/>
  <c r="R58" i="30"/>
  <c r="Q61" i="30"/>
  <c r="Q79" i="30"/>
  <c r="G11" i="32" l="1"/>
  <c r="J14" i="4"/>
  <c r="C113" i="26" s="1"/>
  <c r="Z16" i="4"/>
  <c r="AA15" i="4"/>
  <c r="AB15" i="4" s="1"/>
  <c r="I15" i="4"/>
  <c r="H15" i="4"/>
  <c r="CO64" i="30"/>
  <c r="CO62" i="30"/>
  <c r="CT64" i="30"/>
  <c r="CT70" i="30" s="1"/>
  <c r="CT66" i="30" s="1"/>
  <c r="CT62" i="30"/>
  <c r="CP64" i="30"/>
  <c r="CP62" i="30"/>
  <c r="G112" i="26"/>
  <c r="AF13" i="4"/>
  <c r="F12" i="32"/>
  <c r="G112" i="25"/>
  <c r="AD14" i="4"/>
  <c r="S13" i="32"/>
  <c r="T13" i="32" s="1"/>
  <c r="U13" i="32" s="1"/>
  <c r="V13" i="32" s="1"/>
  <c r="D17" i="4"/>
  <c r="E16" i="4"/>
  <c r="G16" i="4" s="1"/>
  <c r="CL64" i="30"/>
  <c r="CL70" i="30" s="1"/>
  <c r="CL66" i="30" s="1"/>
  <c r="CL62" i="30"/>
  <c r="CR64" i="30"/>
  <c r="CR62" i="30"/>
  <c r="CJ64" i="30"/>
  <c r="CJ70" i="30" s="1"/>
  <c r="CJ66" i="30" s="1"/>
  <c r="CJ62" i="30"/>
  <c r="M46" i="30"/>
  <c r="M52" i="30" s="1"/>
  <c r="N45" i="30"/>
  <c r="C113" i="25"/>
  <c r="CS64" i="30"/>
  <c r="CS62" i="30"/>
  <c r="CU64" i="30"/>
  <c r="CU70" i="30" s="1"/>
  <c r="CU66" i="30" s="1"/>
  <c r="CU62" i="30"/>
  <c r="CK64" i="30"/>
  <c r="CK62" i="30"/>
  <c r="CX60" i="30"/>
  <c r="DD60" i="30"/>
  <c r="CY60" i="30"/>
  <c r="DC60" i="30"/>
  <c r="DF60" i="30"/>
  <c r="DA60" i="30"/>
  <c r="CW60" i="30"/>
  <c r="DE60" i="30"/>
  <c r="CZ60" i="30"/>
  <c r="CV60" i="30"/>
  <c r="DB60" i="30"/>
  <c r="DG60" i="30"/>
  <c r="CM64" i="30"/>
  <c r="CM70" i="30" s="1"/>
  <c r="CM66" i="30" s="1"/>
  <c r="CM62" i="30"/>
  <c r="CQ64" i="30"/>
  <c r="CQ62" i="30"/>
  <c r="CN64" i="30"/>
  <c r="CN70" i="30" s="1"/>
  <c r="CN66" i="30" s="1"/>
  <c r="CN62" i="30"/>
  <c r="EF75" i="30"/>
  <c r="EN75" i="30"/>
  <c r="EL75" i="30"/>
  <c r="EP75" i="30"/>
  <c r="EM75" i="30"/>
  <c r="EG75" i="30"/>
  <c r="EH75" i="30"/>
  <c r="EK75" i="30"/>
  <c r="EO75" i="30"/>
  <c r="EI75" i="30"/>
  <c r="EQ75" i="30"/>
  <c r="C34" i="30"/>
  <c r="EI76" i="30"/>
  <c r="EH76" i="30"/>
  <c r="EP76" i="30"/>
  <c r="EO76" i="30"/>
  <c r="EK76" i="30"/>
  <c r="EF76" i="30"/>
  <c r="EQ76" i="30"/>
  <c r="EL76" i="30"/>
  <c r="EM76" i="30"/>
  <c r="EG76" i="30"/>
  <c r="N16" i="32"/>
  <c r="P16" i="32" s="1"/>
  <c r="Q16" i="32" s="1"/>
  <c r="EN76" i="30"/>
  <c r="EJ76" i="30"/>
  <c r="Q37" i="30"/>
  <c r="P48" i="30"/>
  <c r="P51" i="30" s="1"/>
  <c r="ER75" i="30" s="1"/>
  <c r="C9" i="30"/>
  <c r="G36" i="19" s="1"/>
  <c r="G35" i="19"/>
  <c r="M81" i="30"/>
  <c r="H81" i="30"/>
  <c r="E81" i="30"/>
  <c r="I81" i="30"/>
  <c r="F81" i="30"/>
  <c r="N81" i="30"/>
  <c r="J81" i="30"/>
  <c r="G81" i="30"/>
  <c r="K81" i="30"/>
  <c r="D81" i="30"/>
  <c r="L81" i="30"/>
  <c r="O81" i="30"/>
  <c r="P81" i="30"/>
  <c r="D33" i="30"/>
  <c r="Q50" i="30"/>
  <c r="R39" i="30"/>
  <c r="R50" i="30" s="1"/>
  <c r="C33" i="30"/>
  <c r="D25" i="30"/>
  <c r="D30" i="30" s="1"/>
  <c r="FC76" i="30"/>
  <c r="EV76" i="30"/>
  <c r="FA76" i="30"/>
  <c r="EU76" i="30"/>
  <c r="EZ76" i="30"/>
  <c r="ET76" i="30"/>
  <c r="ER76" i="30"/>
  <c r="EX76" i="30"/>
  <c r="EY76" i="30"/>
  <c r="FB76" i="30"/>
  <c r="EW76" i="30"/>
  <c r="ES76" i="30"/>
  <c r="N17" i="32"/>
  <c r="P17" i="32" s="1"/>
  <c r="BF70" i="30"/>
  <c r="BF66" i="30" s="1"/>
  <c r="BI70" i="30"/>
  <c r="BI66" i="30" s="1"/>
  <c r="BE70" i="30"/>
  <c r="BE66" i="30" s="1"/>
  <c r="BJ70" i="30"/>
  <c r="BJ66" i="30" s="1"/>
  <c r="BG70" i="30"/>
  <c r="BG66" i="30" s="1"/>
  <c r="BD70" i="30"/>
  <c r="BD66" i="30" s="1"/>
  <c r="BC70" i="30"/>
  <c r="BC66" i="30" s="1"/>
  <c r="AZ70" i="30"/>
  <c r="AZ66" i="30" s="1"/>
  <c r="BK70" i="30"/>
  <c r="BK66" i="30" s="1"/>
  <c r="BB70" i="30"/>
  <c r="BB66" i="30" s="1"/>
  <c r="AA70" i="30"/>
  <c r="AA66" i="30" s="1"/>
  <c r="AN70" i="30"/>
  <c r="AN66" i="30" s="1"/>
  <c r="M70" i="30"/>
  <c r="M66" i="30" s="1"/>
  <c r="H70" i="30"/>
  <c r="H66" i="30" s="1"/>
  <c r="N70" i="30"/>
  <c r="N66" i="30" s="1"/>
  <c r="U70" i="30"/>
  <c r="U66" i="30" s="1"/>
  <c r="Q70" i="30"/>
  <c r="Q66" i="30" s="1"/>
  <c r="R70" i="30"/>
  <c r="R66" i="30" s="1"/>
  <c r="AC70" i="30"/>
  <c r="AC66" i="30" s="1"/>
  <c r="AK70" i="30"/>
  <c r="AK66" i="30" s="1"/>
  <c r="AF70" i="30"/>
  <c r="AF66" i="30" s="1"/>
  <c r="AU70" i="30"/>
  <c r="AU66" i="30" s="1"/>
  <c r="AS70" i="30"/>
  <c r="AS66" i="30" s="1"/>
  <c r="AR70" i="30"/>
  <c r="AR66" i="30" s="1"/>
  <c r="BH70" i="30"/>
  <c r="BH66" i="30" s="1"/>
  <c r="BN70" i="30"/>
  <c r="BN66" i="30" s="1"/>
  <c r="BR70" i="30"/>
  <c r="BR66" i="30" s="1"/>
  <c r="J70" i="30"/>
  <c r="J66" i="30" s="1"/>
  <c r="G70" i="30"/>
  <c r="G66" i="30" s="1"/>
  <c r="V70" i="30"/>
  <c r="V66" i="30" s="1"/>
  <c r="AE70" i="30"/>
  <c r="AE66" i="30" s="1"/>
  <c r="AH70" i="30"/>
  <c r="AH66" i="30" s="1"/>
  <c r="AV70" i="30"/>
  <c r="AV66" i="30" s="1"/>
  <c r="BM70" i="30"/>
  <c r="BM66" i="30" s="1"/>
  <c r="L70" i="30"/>
  <c r="L66" i="30" s="1"/>
  <c r="Z70" i="30"/>
  <c r="Z66" i="30" s="1"/>
  <c r="S70" i="30"/>
  <c r="S66" i="30" s="1"/>
  <c r="AI70" i="30"/>
  <c r="AI66" i="30" s="1"/>
  <c r="AO70" i="30"/>
  <c r="AO66" i="30" s="1"/>
  <c r="AX70" i="30"/>
  <c r="AX66" i="30" s="1"/>
  <c r="BL70" i="30"/>
  <c r="BL66" i="30" s="1"/>
  <c r="BO70" i="30"/>
  <c r="BO66" i="30" s="1"/>
  <c r="BP70" i="30"/>
  <c r="BP66" i="30" s="1"/>
  <c r="I70" i="30"/>
  <c r="I66" i="30" s="1"/>
  <c r="D70" i="30"/>
  <c r="D66" i="30" s="1"/>
  <c r="O70" i="30"/>
  <c r="O66" i="30" s="1"/>
  <c r="X70" i="30"/>
  <c r="X66" i="30" s="1"/>
  <c r="Y70" i="30"/>
  <c r="Y66" i="30" s="1"/>
  <c r="W70" i="30"/>
  <c r="W66" i="30" s="1"/>
  <c r="AM70" i="30"/>
  <c r="AM66" i="30" s="1"/>
  <c r="AB70" i="30"/>
  <c r="AB66" i="30" s="1"/>
  <c r="AG70" i="30"/>
  <c r="AG66" i="30" s="1"/>
  <c r="AQ70" i="30"/>
  <c r="AQ66" i="30" s="1"/>
  <c r="AT70" i="30"/>
  <c r="AT66" i="30" s="1"/>
  <c r="AY70" i="30"/>
  <c r="AY66" i="30" s="1"/>
  <c r="BW70" i="30"/>
  <c r="BW66" i="30" s="1"/>
  <c r="BS70" i="30"/>
  <c r="BS66" i="30" s="1"/>
  <c r="BQ70" i="30"/>
  <c r="BQ66" i="30" s="1"/>
  <c r="BU70" i="30"/>
  <c r="BU66" i="30" s="1"/>
  <c r="E70" i="30"/>
  <c r="E66" i="30" s="1"/>
  <c r="K70" i="30"/>
  <c r="K66" i="30" s="1"/>
  <c r="F70" i="30"/>
  <c r="F66" i="30" s="1"/>
  <c r="T70" i="30"/>
  <c r="T66" i="30" s="1"/>
  <c r="P70" i="30"/>
  <c r="P66" i="30" s="1"/>
  <c r="AD70" i="30"/>
  <c r="AD66" i="30" s="1"/>
  <c r="AJ70" i="30"/>
  <c r="AJ66" i="30" s="1"/>
  <c r="AL70" i="30"/>
  <c r="AL66" i="30" s="1"/>
  <c r="AW70" i="30"/>
  <c r="AW66" i="30" s="1"/>
  <c r="AP70" i="30"/>
  <c r="AP66" i="30" s="1"/>
  <c r="BA70" i="30"/>
  <c r="BA66" i="30" s="1"/>
  <c r="BV70" i="30"/>
  <c r="BV66" i="30" s="1"/>
  <c r="BT70" i="30"/>
  <c r="BT66" i="30" s="1"/>
  <c r="CC70" i="30"/>
  <c r="CC66" i="30" s="1"/>
  <c r="CH70" i="30"/>
  <c r="CH66" i="30" s="1"/>
  <c r="CF70" i="30"/>
  <c r="CF66" i="30" s="1"/>
  <c r="BZ70" i="30"/>
  <c r="BZ66" i="30" s="1"/>
  <c r="BX70" i="30"/>
  <c r="BX66" i="30" s="1"/>
  <c r="BY70" i="30"/>
  <c r="BY66" i="30" s="1"/>
  <c r="CI70" i="30"/>
  <c r="CI66" i="30" s="1"/>
  <c r="CA70" i="30"/>
  <c r="CA66" i="30" s="1"/>
  <c r="CD70" i="30"/>
  <c r="CD66" i="30" s="1"/>
  <c r="CB70" i="30"/>
  <c r="CB66" i="30" s="1"/>
  <c r="CG70" i="30"/>
  <c r="CG66" i="30" s="1"/>
  <c r="CE70" i="30"/>
  <c r="CE66" i="30" s="1"/>
  <c r="CP70" i="30"/>
  <c r="CP66" i="30" s="1"/>
  <c r="CK70" i="30"/>
  <c r="CK66" i="30" s="1"/>
  <c r="CO70" i="30"/>
  <c r="CO66" i="30" s="1"/>
  <c r="CR70" i="30"/>
  <c r="CR66" i="30" s="1"/>
  <c r="CS70" i="30"/>
  <c r="CS66" i="30" s="1"/>
  <c r="CQ70" i="30"/>
  <c r="CQ66" i="30" s="1"/>
  <c r="Q40" i="30"/>
  <c r="M79" i="30"/>
  <c r="J79" i="30"/>
  <c r="D79" i="30"/>
  <c r="K79" i="30"/>
  <c r="E79" i="30"/>
  <c r="L79" i="30"/>
  <c r="H79" i="30"/>
  <c r="I79" i="30"/>
  <c r="F79" i="30"/>
  <c r="G79" i="30"/>
  <c r="N79" i="30"/>
  <c r="O79" i="30"/>
  <c r="P79" i="30"/>
  <c r="AI12" i="32"/>
  <c r="AV12" i="32"/>
  <c r="AU12" i="32"/>
  <c r="S58" i="30"/>
  <c r="R81" i="30"/>
  <c r="R61" i="30"/>
  <c r="R79" i="30"/>
  <c r="G12" i="32" l="1"/>
  <c r="AE14" i="4"/>
  <c r="AF14" i="4" s="1"/>
  <c r="CZ62" i="30"/>
  <c r="CZ64" i="30"/>
  <c r="CZ70" i="30" s="1"/>
  <c r="CZ66" i="30" s="1"/>
  <c r="DF64" i="30"/>
  <c r="DF70" i="30" s="1"/>
  <c r="DF66" i="30" s="1"/>
  <c r="DF62" i="30"/>
  <c r="CX62" i="30"/>
  <c r="CX64" i="30"/>
  <c r="CX70" i="30" s="1"/>
  <c r="CX66" i="30" s="1"/>
  <c r="J15" i="4"/>
  <c r="DG64" i="30"/>
  <c r="DG70" i="30" s="1"/>
  <c r="DG66" i="30" s="1"/>
  <c r="DG62" i="30"/>
  <c r="DE62" i="30"/>
  <c r="DE64" i="30"/>
  <c r="DE70" i="30" s="1"/>
  <c r="DE66" i="30" s="1"/>
  <c r="DC64" i="30"/>
  <c r="DC70" i="30" s="1"/>
  <c r="DC66" i="30" s="1"/>
  <c r="DC62" i="30"/>
  <c r="N46" i="30"/>
  <c r="N52" i="30" s="1"/>
  <c r="O45" i="30"/>
  <c r="H16" i="4"/>
  <c r="I16" i="4"/>
  <c r="DB62" i="30"/>
  <c r="DB64" i="30"/>
  <c r="DB70" i="30" s="1"/>
  <c r="DB66" i="30" s="1"/>
  <c r="CW64" i="30"/>
  <c r="CW70" i="30" s="1"/>
  <c r="CW66" i="30" s="1"/>
  <c r="CW62" i="30"/>
  <c r="CY62" i="30"/>
  <c r="CY64" i="30"/>
  <c r="CY70" i="30" s="1"/>
  <c r="CY66" i="30" s="1"/>
  <c r="DK60" i="30"/>
  <c r="DQ60" i="30"/>
  <c r="DR60" i="30"/>
  <c r="DO60" i="30"/>
  <c r="DJ60" i="30"/>
  <c r="DM60" i="30"/>
  <c r="DS60" i="30"/>
  <c r="DP60" i="30"/>
  <c r="DL60" i="30"/>
  <c r="DI60" i="30"/>
  <c r="DN60" i="30"/>
  <c r="DH60" i="30"/>
  <c r="D18" i="4"/>
  <c r="E17" i="4"/>
  <c r="G17" i="4" s="1"/>
  <c r="AD15" i="4"/>
  <c r="AE15" i="4" s="1"/>
  <c r="S14" i="32"/>
  <c r="T14" i="32" s="1"/>
  <c r="U14" i="32" s="1"/>
  <c r="CV64" i="30"/>
  <c r="CV70" i="30" s="1"/>
  <c r="CV66" i="30" s="1"/>
  <c r="CV62" i="30"/>
  <c r="DA64" i="30"/>
  <c r="DA70" i="30" s="1"/>
  <c r="DA66" i="30" s="1"/>
  <c r="DA62" i="30"/>
  <c r="DD62" i="30"/>
  <c r="DD64" i="30"/>
  <c r="DD70" i="30" s="1"/>
  <c r="DD66" i="30" s="1"/>
  <c r="Z17" i="4"/>
  <c r="AA16" i="4"/>
  <c r="AB16" i="4" s="1"/>
  <c r="EV75" i="30"/>
  <c r="EZ75" i="30"/>
  <c r="FB75" i="30"/>
  <c r="ES75" i="30"/>
  <c r="EY75" i="30"/>
  <c r="FC75" i="30"/>
  <c r="R37" i="30"/>
  <c r="Q48" i="30"/>
  <c r="Q51" i="30" s="1"/>
  <c r="EU75" i="30"/>
  <c r="EX75" i="30"/>
  <c r="FA75" i="30"/>
  <c r="ET75" i="30"/>
  <c r="EW75" i="30"/>
  <c r="R67" i="30"/>
  <c r="Q17" i="32"/>
  <c r="FE76" i="30"/>
  <c r="FF76" i="30"/>
  <c r="FM76" i="30"/>
  <c r="FN76" i="30"/>
  <c r="FI76" i="30"/>
  <c r="FD76" i="30"/>
  <c r="FO76" i="30"/>
  <c r="FL76" i="30"/>
  <c r="FH76" i="30"/>
  <c r="FK76" i="30"/>
  <c r="FG76" i="30"/>
  <c r="FJ76" i="30"/>
  <c r="N18" i="32"/>
  <c r="P18" i="32" s="1"/>
  <c r="Q18" i="32" s="1"/>
  <c r="I67" i="30"/>
  <c r="H67" i="30"/>
  <c r="L67" i="30"/>
  <c r="E67" i="30"/>
  <c r="F67" i="30"/>
  <c r="M67" i="30"/>
  <c r="D67" i="30"/>
  <c r="J67" i="30"/>
  <c r="N67" i="30"/>
  <c r="G67" i="30"/>
  <c r="K67" i="30"/>
  <c r="O67" i="30"/>
  <c r="P67" i="30"/>
  <c r="Q67" i="30"/>
  <c r="D26" i="30"/>
  <c r="D31" i="30" s="1"/>
  <c r="D34" i="30" s="1"/>
  <c r="AW12" i="32"/>
  <c r="AY12" i="32" s="1"/>
  <c r="AZ12" i="32" s="1"/>
  <c r="AJ13" i="32"/>
  <c r="AS13" i="32" s="1"/>
  <c r="AT13" i="32" s="1"/>
  <c r="V14" i="32"/>
  <c r="T58" i="30"/>
  <c r="S67" i="30"/>
  <c r="S81" i="30"/>
  <c r="S79" i="30"/>
  <c r="S61" i="30"/>
  <c r="G113" i="25" l="1"/>
  <c r="G113" i="26"/>
  <c r="F13" i="32"/>
  <c r="G13" i="32" s="1"/>
  <c r="DH64" i="30"/>
  <c r="DH70" i="30" s="1"/>
  <c r="DH66" i="30" s="1"/>
  <c r="DH62" i="30"/>
  <c r="DO64" i="30"/>
  <c r="DO70" i="30" s="1"/>
  <c r="DO66" i="30" s="1"/>
  <c r="DO62" i="30"/>
  <c r="AA17" i="4"/>
  <c r="AB17" i="4" s="1"/>
  <c r="Z18" i="4"/>
  <c r="G114" i="25"/>
  <c r="F14" i="32"/>
  <c r="G14" i="32" s="1"/>
  <c r="G114" i="26"/>
  <c r="AF15" i="4"/>
  <c r="DN64" i="30"/>
  <c r="DN70" i="30" s="1"/>
  <c r="DN66" i="30" s="1"/>
  <c r="DN62" i="30"/>
  <c r="DS62" i="30"/>
  <c r="DS64" i="30"/>
  <c r="DS70" i="30" s="1"/>
  <c r="DS66" i="30" s="1"/>
  <c r="DR64" i="30"/>
  <c r="DR70" i="30" s="1"/>
  <c r="DR66" i="30" s="1"/>
  <c r="DR62" i="30"/>
  <c r="O46" i="30"/>
  <c r="O52" i="30" s="1"/>
  <c r="P45" i="30"/>
  <c r="C114" i="25"/>
  <c r="C114" i="26"/>
  <c r="S15" i="32"/>
  <c r="T15" i="32" s="1"/>
  <c r="U15" i="32" s="1"/>
  <c r="V15" i="32" s="1"/>
  <c r="AD16" i="4"/>
  <c r="DP62" i="30"/>
  <c r="DP64" i="30"/>
  <c r="DP70" i="30" s="1"/>
  <c r="DP66" i="30" s="1"/>
  <c r="H17" i="4"/>
  <c r="I17" i="4"/>
  <c r="DI64" i="30"/>
  <c r="DI70" i="30" s="1"/>
  <c r="DI66" i="30" s="1"/>
  <c r="DI62" i="30"/>
  <c r="DM64" i="30"/>
  <c r="DM70" i="30" s="1"/>
  <c r="DM66" i="30" s="1"/>
  <c r="DM62" i="30"/>
  <c r="DQ64" i="30"/>
  <c r="DQ70" i="30" s="1"/>
  <c r="DQ66" i="30" s="1"/>
  <c r="DQ62" i="30"/>
  <c r="EC60" i="30"/>
  <c r="DV60" i="30"/>
  <c r="EE60" i="30"/>
  <c r="DY60" i="30"/>
  <c r="EB60" i="30"/>
  <c r="DZ60" i="30"/>
  <c r="DT60" i="30"/>
  <c r="EA60" i="30"/>
  <c r="DU60" i="30"/>
  <c r="DX60" i="30"/>
  <c r="DW60" i="30"/>
  <c r="ED60" i="30"/>
  <c r="D19" i="4"/>
  <c r="E18" i="4"/>
  <c r="G18" i="4" s="1"/>
  <c r="DL64" i="30"/>
  <c r="DL70" i="30" s="1"/>
  <c r="DL66" i="30" s="1"/>
  <c r="DL62" i="30"/>
  <c r="DJ62" i="30"/>
  <c r="DJ64" i="30"/>
  <c r="DJ70" i="30" s="1"/>
  <c r="DJ66" i="30" s="1"/>
  <c r="DK64" i="30"/>
  <c r="DK70" i="30" s="1"/>
  <c r="DK66" i="30" s="1"/>
  <c r="DK62" i="30"/>
  <c r="J16" i="4"/>
  <c r="H68" i="30"/>
  <c r="H74" i="30" s="1"/>
  <c r="H77" i="30" s="1"/>
  <c r="L68" i="30"/>
  <c r="L74" i="30" s="1"/>
  <c r="L77" i="30" s="1"/>
  <c r="FN75" i="30"/>
  <c r="FI75" i="30"/>
  <c r="FE75" i="30"/>
  <c r="FL75" i="30"/>
  <c r="R68" i="30"/>
  <c r="R74" i="30" s="1"/>
  <c r="FJ75" i="30"/>
  <c r="FF75" i="30"/>
  <c r="FD75" i="30"/>
  <c r="FK75" i="30"/>
  <c r="FG75" i="30"/>
  <c r="FO75" i="30"/>
  <c r="FM75" i="30"/>
  <c r="FH75" i="30"/>
  <c r="R48" i="30"/>
  <c r="R51" i="30" s="1"/>
  <c r="R40" i="30"/>
  <c r="K68" i="30"/>
  <c r="K74" i="30" s="1"/>
  <c r="K77" i="30" s="1"/>
  <c r="P68" i="30"/>
  <c r="P74" i="30" s="1"/>
  <c r="P77" i="30" s="1"/>
  <c r="F68" i="30"/>
  <c r="F74" i="30" s="1"/>
  <c r="F77" i="30" s="1"/>
  <c r="N68" i="30"/>
  <c r="N74" i="30" s="1"/>
  <c r="N77" i="30" s="1"/>
  <c r="I68" i="30"/>
  <c r="I74" i="30" s="1"/>
  <c r="I77" i="30" s="1"/>
  <c r="D68" i="30"/>
  <c r="E68" i="30"/>
  <c r="E74" i="30" s="1"/>
  <c r="E77" i="30" s="1"/>
  <c r="M68" i="30"/>
  <c r="M74" i="30" s="1"/>
  <c r="M77" i="30" s="1"/>
  <c r="Q68" i="30"/>
  <c r="Q74" i="30" s="1"/>
  <c r="Q77" i="30" s="1"/>
  <c r="O68" i="30"/>
  <c r="O74" i="30" s="1"/>
  <c r="O77" i="30" s="1"/>
  <c r="G68" i="30"/>
  <c r="G74" i="30" s="1"/>
  <c r="G77" i="30" s="1"/>
  <c r="J68" i="30"/>
  <c r="J74" i="30" s="1"/>
  <c r="J77" i="30" s="1"/>
  <c r="AI13" i="32"/>
  <c r="AV13" i="32"/>
  <c r="AU13" i="32"/>
  <c r="U58" i="30"/>
  <c r="T81" i="30"/>
  <c r="T67" i="30"/>
  <c r="T61" i="30"/>
  <c r="T79" i="30"/>
  <c r="S68" i="30"/>
  <c r="DY62" i="30" l="1"/>
  <c r="DY64" i="30"/>
  <c r="DY70" i="30" s="1"/>
  <c r="DY66" i="30" s="1"/>
  <c r="DW62" i="30"/>
  <c r="DW64" i="30"/>
  <c r="DW70" i="30" s="1"/>
  <c r="DW66" i="30" s="1"/>
  <c r="DT64" i="30"/>
  <c r="DT70" i="30" s="1"/>
  <c r="DT66" i="30" s="1"/>
  <c r="DT62" i="30"/>
  <c r="EE62" i="30"/>
  <c r="EE64" i="30"/>
  <c r="EE70" i="30" s="1"/>
  <c r="EE66" i="30" s="1"/>
  <c r="EA64" i="30"/>
  <c r="EA70" i="30" s="1"/>
  <c r="EA66" i="30" s="1"/>
  <c r="EA62" i="30"/>
  <c r="I18" i="4"/>
  <c r="H18" i="4"/>
  <c r="DX64" i="30"/>
  <c r="DX70" i="30" s="1"/>
  <c r="DX66" i="30" s="1"/>
  <c r="DX62" i="30"/>
  <c r="DZ64" i="30"/>
  <c r="DZ70" i="30" s="1"/>
  <c r="DZ66" i="30" s="1"/>
  <c r="DZ62" i="30"/>
  <c r="DV62" i="30"/>
  <c r="DV64" i="30"/>
  <c r="DV70" i="30" s="1"/>
  <c r="DV66" i="30" s="1"/>
  <c r="J17" i="4"/>
  <c r="AE16" i="4"/>
  <c r="P46" i="30"/>
  <c r="P52" i="30" s="1"/>
  <c r="Q45" i="30"/>
  <c r="Z19" i="4"/>
  <c r="AA18" i="4"/>
  <c r="AB18" i="4" s="1"/>
  <c r="ED64" i="30"/>
  <c r="ED70" i="30" s="1"/>
  <c r="ED66" i="30" s="1"/>
  <c r="ED62" i="30"/>
  <c r="C115" i="25"/>
  <c r="C115" i="26"/>
  <c r="D20" i="4"/>
  <c r="E20" i="4" s="1"/>
  <c r="G20" i="4" s="1"/>
  <c r="E19" i="4"/>
  <c r="G19" i="4" s="1"/>
  <c r="DU64" i="30"/>
  <c r="DU70" i="30" s="1"/>
  <c r="DU66" i="30" s="1"/>
  <c r="DU62" i="30"/>
  <c r="EB64" i="30"/>
  <c r="EB70" i="30" s="1"/>
  <c r="EB66" i="30" s="1"/>
  <c r="EB62" i="30"/>
  <c r="EC62" i="30"/>
  <c r="EC64" i="30"/>
  <c r="EC70" i="30" s="1"/>
  <c r="EC66" i="30" s="1"/>
  <c r="EL60" i="30"/>
  <c r="EI60" i="30"/>
  <c r="EQ60" i="30"/>
  <c r="EJ60" i="30"/>
  <c r="EP60" i="30"/>
  <c r="EG60" i="30"/>
  <c r="EO60" i="30"/>
  <c r="EF60" i="30"/>
  <c r="EN60" i="30"/>
  <c r="EK60" i="30"/>
  <c r="EM60" i="30"/>
  <c r="EH60" i="30"/>
  <c r="AD17" i="4"/>
  <c r="S16" i="32"/>
  <c r="T16" i="32" s="1"/>
  <c r="U16" i="32" s="1"/>
  <c r="V16" i="32" s="1"/>
  <c r="CU88" i="30"/>
  <c r="FW76" i="30"/>
  <c r="FV76" i="30"/>
  <c r="FS76" i="30"/>
  <c r="BW88" i="30"/>
  <c r="FT76" i="30"/>
  <c r="N19" i="32"/>
  <c r="FC88" i="30"/>
  <c r="FQ76" i="30"/>
  <c r="FZ76" i="30"/>
  <c r="FP76" i="30"/>
  <c r="DG88" i="30"/>
  <c r="EE88" i="30"/>
  <c r="FX76" i="30"/>
  <c r="DS88" i="30"/>
  <c r="GA76" i="30"/>
  <c r="FU76" i="30"/>
  <c r="FY76" i="30"/>
  <c r="FR76" i="30"/>
  <c r="EQ88" i="30"/>
  <c r="CI88" i="30"/>
  <c r="FO88" i="30"/>
  <c r="FR75" i="30"/>
  <c r="FQ75" i="30"/>
  <c r="FP75" i="30"/>
  <c r="FT75" i="30"/>
  <c r="FZ75" i="30"/>
  <c r="FU75" i="30"/>
  <c r="FS75" i="30"/>
  <c r="FX75" i="30"/>
  <c r="FV75" i="30"/>
  <c r="FW75" i="30"/>
  <c r="FY75" i="30"/>
  <c r="GA75" i="30"/>
  <c r="R80" i="30"/>
  <c r="E80" i="30"/>
  <c r="D74" i="30"/>
  <c r="H80" i="30"/>
  <c r="J80" i="30"/>
  <c r="O80" i="30"/>
  <c r="I80" i="30"/>
  <c r="D80" i="30"/>
  <c r="K80" i="30"/>
  <c r="G80" i="30"/>
  <c r="F80" i="30"/>
  <c r="L80" i="30"/>
  <c r="M80" i="30"/>
  <c r="N80" i="30"/>
  <c r="P80" i="30"/>
  <c r="Q80" i="30"/>
  <c r="AW13" i="32"/>
  <c r="AY13" i="32" s="1"/>
  <c r="AZ13" i="32" s="1"/>
  <c r="AJ14" i="32"/>
  <c r="AS14" i="32" s="1"/>
  <c r="AT14" i="32" s="1"/>
  <c r="S74" i="30"/>
  <c r="S80" i="30"/>
  <c r="V58" i="30"/>
  <c r="U81" i="30"/>
  <c r="U67" i="30"/>
  <c r="U79" i="30"/>
  <c r="U61" i="30"/>
  <c r="T68" i="30"/>
  <c r="R77" i="30"/>
  <c r="R82" i="30"/>
  <c r="EM64" i="30" l="1"/>
  <c r="EM70" i="30" s="1"/>
  <c r="EM66" i="30" s="1"/>
  <c r="EM62" i="30"/>
  <c r="EK62" i="30"/>
  <c r="EK64" i="30"/>
  <c r="EK70" i="30" s="1"/>
  <c r="EK66" i="30" s="1"/>
  <c r="EG64" i="30"/>
  <c r="EG70" i="30" s="1"/>
  <c r="EG66" i="30" s="1"/>
  <c r="EG62" i="30"/>
  <c r="EI62" i="30"/>
  <c r="EI64" i="30"/>
  <c r="EI70" i="30" s="1"/>
  <c r="EI66" i="30" s="1"/>
  <c r="I19" i="4"/>
  <c r="H19" i="4"/>
  <c r="R45" i="30"/>
  <c r="R46" i="30" s="1"/>
  <c r="R52" i="30" s="1"/>
  <c r="Q46" i="30"/>
  <c r="Q52" i="30" s="1"/>
  <c r="EO62" i="30"/>
  <c r="EO64" i="30"/>
  <c r="EO70" i="30" s="1"/>
  <c r="EO66" i="30" s="1"/>
  <c r="EQ64" i="30"/>
  <c r="EQ70" i="30" s="1"/>
  <c r="EQ66" i="30" s="1"/>
  <c r="EQ62" i="30"/>
  <c r="Z20" i="4"/>
  <c r="AA20" i="4" s="1"/>
  <c r="AB20" i="4" s="1"/>
  <c r="AA19" i="4"/>
  <c r="AB19" i="4" s="1"/>
  <c r="C116" i="25"/>
  <c r="C116" i="26"/>
  <c r="AE17" i="4"/>
  <c r="EN62" i="30"/>
  <c r="EN64" i="30"/>
  <c r="EN70" i="30" s="1"/>
  <c r="EN66" i="30" s="1"/>
  <c r="EP62" i="30"/>
  <c r="EP64" i="30"/>
  <c r="EP70" i="30" s="1"/>
  <c r="EP66" i="30" s="1"/>
  <c r="EL62" i="30"/>
  <c r="EL64" i="30"/>
  <c r="EL70" i="30" s="1"/>
  <c r="EL66" i="30" s="1"/>
  <c r="H20" i="4"/>
  <c r="I20" i="4"/>
  <c r="EW60" i="30"/>
  <c r="FA60" i="30"/>
  <c r="FC60" i="30"/>
  <c r="ET60" i="30"/>
  <c r="EY60" i="30"/>
  <c r="EZ60" i="30"/>
  <c r="EX60" i="30"/>
  <c r="EV60" i="30"/>
  <c r="EU60" i="30"/>
  <c r="ES60" i="30"/>
  <c r="ER60" i="30"/>
  <c r="FB60" i="30"/>
  <c r="EH62" i="30"/>
  <c r="EH64" i="30"/>
  <c r="EH70" i="30" s="1"/>
  <c r="EH66" i="30" s="1"/>
  <c r="EF62" i="30"/>
  <c r="EF64" i="30"/>
  <c r="EF70" i="30" s="1"/>
  <c r="EF66" i="30" s="1"/>
  <c r="EJ64" i="30"/>
  <c r="EJ70" i="30" s="1"/>
  <c r="EJ66" i="30" s="1"/>
  <c r="EJ62" i="30"/>
  <c r="S17" i="32"/>
  <c r="AD18" i="4"/>
  <c r="AF16" i="4"/>
  <c r="F15" i="32"/>
  <c r="G15" i="32" s="1"/>
  <c r="G115" i="26"/>
  <c r="G115" i="25"/>
  <c r="J18" i="4"/>
  <c r="P19" i="32"/>
  <c r="N21" i="32"/>
  <c r="J82" i="30"/>
  <c r="D77" i="30"/>
  <c r="M82" i="30"/>
  <c r="F82" i="30"/>
  <c r="L82" i="30"/>
  <c r="H82" i="30"/>
  <c r="I82" i="30"/>
  <c r="N82" i="30"/>
  <c r="O82" i="30"/>
  <c r="D82" i="30"/>
  <c r="E82" i="30"/>
  <c r="K82" i="30"/>
  <c r="G82" i="30"/>
  <c r="P82" i="30"/>
  <c r="Q82" i="30"/>
  <c r="AI14" i="32"/>
  <c r="AJ15" i="32" s="1"/>
  <c r="AV14" i="32"/>
  <c r="AU14" i="32"/>
  <c r="W58" i="30"/>
  <c r="V81" i="30"/>
  <c r="V67" i="30"/>
  <c r="V61" i="30"/>
  <c r="V79" i="30"/>
  <c r="S77" i="30"/>
  <c r="S82" i="30"/>
  <c r="T74" i="30"/>
  <c r="T80" i="30"/>
  <c r="U68" i="30"/>
  <c r="J20" i="4" l="1"/>
  <c r="C119" i="25" s="1"/>
  <c r="C117" i="25"/>
  <c r="C117" i="26"/>
  <c r="EU64" i="30"/>
  <c r="EU70" i="30" s="1"/>
  <c r="EU66" i="30" s="1"/>
  <c r="EU62" i="30"/>
  <c r="EY64" i="30"/>
  <c r="EY70" i="30" s="1"/>
  <c r="EY66" i="30" s="1"/>
  <c r="EY62" i="30"/>
  <c r="EW64" i="30"/>
  <c r="EW70" i="30" s="1"/>
  <c r="EW66" i="30" s="1"/>
  <c r="EW62" i="30"/>
  <c r="FW60" i="30"/>
  <c r="FY60" i="30"/>
  <c r="FS60" i="30"/>
  <c r="FP60" i="30"/>
  <c r="FU60" i="30"/>
  <c r="FT60" i="30"/>
  <c r="FR60" i="30"/>
  <c r="FX60" i="30"/>
  <c r="FQ60" i="30"/>
  <c r="FV60" i="30"/>
  <c r="GA60" i="30"/>
  <c r="FZ60" i="30"/>
  <c r="AE18" i="4"/>
  <c r="FB62" i="30"/>
  <c r="FB64" i="30"/>
  <c r="FB70" i="30" s="1"/>
  <c r="FB66" i="30" s="1"/>
  <c r="EV64" i="30"/>
  <c r="EV70" i="30" s="1"/>
  <c r="EV66" i="30" s="1"/>
  <c r="EV62" i="30"/>
  <c r="ET64" i="30"/>
  <c r="ET70" i="30" s="1"/>
  <c r="ET66" i="30" s="1"/>
  <c r="ET62" i="30"/>
  <c r="S18" i="32"/>
  <c r="T18" i="32" s="1"/>
  <c r="U18" i="32" s="1"/>
  <c r="V18" i="32" s="1"/>
  <c r="AD19" i="4"/>
  <c r="J19" i="4"/>
  <c r="ES64" i="30"/>
  <c r="ES70" i="30" s="1"/>
  <c r="ES66" i="30" s="1"/>
  <c r="ES62" i="30"/>
  <c r="EZ64" i="30"/>
  <c r="EZ70" i="30" s="1"/>
  <c r="EZ66" i="30" s="1"/>
  <c r="EZ62" i="30"/>
  <c r="FA64" i="30"/>
  <c r="FA70" i="30" s="1"/>
  <c r="FA66" i="30" s="1"/>
  <c r="FA62" i="30"/>
  <c r="FO60" i="30"/>
  <c r="FK60" i="30"/>
  <c r="FI60" i="30"/>
  <c r="FG60" i="30"/>
  <c r="FM60" i="30"/>
  <c r="FF60" i="30"/>
  <c r="FJ60" i="30"/>
  <c r="FH60" i="30"/>
  <c r="FD60" i="30"/>
  <c r="FE60" i="30"/>
  <c r="FL60" i="30"/>
  <c r="FN60" i="30"/>
  <c r="T17" i="32"/>
  <c r="ER62" i="30"/>
  <c r="ER64" i="30"/>
  <c r="ER70" i="30" s="1"/>
  <c r="ER66" i="30" s="1"/>
  <c r="EX62" i="30"/>
  <c r="EX64" i="30"/>
  <c r="EX70" i="30" s="1"/>
  <c r="EX66" i="30" s="1"/>
  <c r="FC62" i="30"/>
  <c r="FC64" i="30"/>
  <c r="FC70" i="30" s="1"/>
  <c r="FC66" i="30" s="1"/>
  <c r="AF17" i="4"/>
  <c r="F16" i="32"/>
  <c r="G16" i="32" s="1"/>
  <c r="G116" i="25"/>
  <c r="G116" i="26"/>
  <c r="AD20" i="4"/>
  <c r="AE20" i="4" s="1"/>
  <c r="S19" i="32"/>
  <c r="T19" i="32" s="1"/>
  <c r="U19" i="32" s="1"/>
  <c r="S83" i="30"/>
  <c r="Q19" i="32"/>
  <c r="Q21" i="32" s="1"/>
  <c r="P21" i="32"/>
  <c r="F83" i="30"/>
  <c r="E83" i="30"/>
  <c r="M83" i="30"/>
  <c r="K83" i="30"/>
  <c r="H83" i="30"/>
  <c r="I83" i="30"/>
  <c r="L83" i="30"/>
  <c r="J83" i="30"/>
  <c r="D83" i="30"/>
  <c r="N83" i="30"/>
  <c r="G83" i="30"/>
  <c r="O83" i="30"/>
  <c r="P83" i="30"/>
  <c r="Q83" i="30"/>
  <c r="R83" i="30"/>
  <c r="AW14" i="32"/>
  <c r="AY14" i="32" s="1"/>
  <c r="AZ14" i="32" s="1"/>
  <c r="AS15" i="32"/>
  <c r="AT15" i="32" s="1"/>
  <c r="AU15" i="32" s="1"/>
  <c r="AJ19" i="32"/>
  <c r="AI15" i="32"/>
  <c r="AI19" i="32" s="1"/>
  <c r="AZ17" i="32" s="1"/>
  <c r="T77" i="30"/>
  <c r="T83" i="30" s="1"/>
  <c r="T82" i="30"/>
  <c r="U74" i="30"/>
  <c r="U80" i="30"/>
  <c r="V68" i="30"/>
  <c r="X58" i="30"/>
  <c r="W81" i="30"/>
  <c r="W67" i="30"/>
  <c r="W61" i="30"/>
  <c r="W79" i="30"/>
  <c r="C119" i="26" l="1"/>
  <c r="AF20" i="4"/>
  <c r="F19" i="32"/>
  <c r="G119" i="26"/>
  <c r="G119" i="25"/>
  <c r="U17" i="32"/>
  <c r="T21" i="32"/>
  <c r="FD64" i="30"/>
  <c r="FD70" i="30" s="1"/>
  <c r="FD66" i="30" s="1"/>
  <c r="FD62" i="30"/>
  <c r="FM62" i="30"/>
  <c r="FM64" i="30"/>
  <c r="FM70" i="30" s="1"/>
  <c r="FM66" i="30" s="1"/>
  <c r="FO64" i="30"/>
  <c r="FO70" i="30" s="1"/>
  <c r="FO66" i="30" s="1"/>
  <c r="FO62" i="30"/>
  <c r="AE19" i="4"/>
  <c r="G117" i="25"/>
  <c r="G117" i="26"/>
  <c r="F17" i="32"/>
  <c r="G17" i="32" s="1"/>
  <c r="AF18" i="4"/>
  <c r="FQ62" i="30"/>
  <c r="FQ64" i="30"/>
  <c r="FQ70" i="30" s="1"/>
  <c r="FQ66" i="30" s="1"/>
  <c r="FU62" i="30"/>
  <c r="FU64" i="30"/>
  <c r="FU70" i="30" s="1"/>
  <c r="FU66" i="30" s="1"/>
  <c r="FW64" i="30"/>
  <c r="FW70" i="30" s="1"/>
  <c r="FW66" i="30" s="1"/>
  <c r="FW62" i="30"/>
  <c r="S21" i="32"/>
  <c r="FE64" i="30"/>
  <c r="FE70" i="30" s="1"/>
  <c r="FE66" i="30" s="1"/>
  <c r="FE62" i="30"/>
  <c r="FF62" i="30"/>
  <c r="FF64" i="30"/>
  <c r="FF70" i="30" s="1"/>
  <c r="FF66" i="30" s="1"/>
  <c r="FK62" i="30"/>
  <c r="FK64" i="30"/>
  <c r="FK70" i="30" s="1"/>
  <c r="FK66" i="30" s="1"/>
  <c r="C118" i="25"/>
  <c r="C118" i="26"/>
  <c r="C120" i="26" s="1"/>
  <c r="FV64" i="30"/>
  <c r="FV70" i="30" s="1"/>
  <c r="FV66" i="30" s="1"/>
  <c r="FV62" i="30"/>
  <c r="FT64" i="30"/>
  <c r="FT70" i="30" s="1"/>
  <c r="FT66" i="30" s="1"/>
  <c r="FT62" i="30"/>
  <c r="FY62" i="30"/>
  <c r="FY64" i="30"/>
  <c r="FY70" i="30" s="1"/>
  <c r="FY66" i="30" s="1"/>
  <c r="FN64" i="30"/>
  <c r="FN70" i="30" s="1"/>
  <c r="FN66" i="30" s="1"/>
  <c r="FN62" i="30"/>
  <c r="FH64" i="30"/>
  <c r="FH70" i="30" s="1"/>
  <c r="FH66" i="30" s="1"/>
  <c r="FH62" i="30"/>
  <c r="FG64" i="30"/>
  <c r="FG70" i="30" s="1"/>
  <c r="FG66" i="30" s="1"/>
  <c r="FG62" i="30"/>
  <c r="FZ64" i="30"/>
  <c r="FZ70" i="30" s="1"/>
  <c r="FZ66" i="30" s="1"/>
  <c r="FZ62" i="30"/>
  <c r="FX64" i="30"/>
  <c r="FX70" i="30" s="1"/>
  <c r="FX66" i="30" s="1"/>
  <c r="FX62" i="30"/>
  <c r="FP62" i="30"/>
  <c r="FP64" i="30"/>
  <c r="FP70" i="30" s="1"/>
  <c r="FP66" i="30" s="1"/>
  <c r="FL64" i="30"/>
  <c r="FL70" i="30" s="1"/>
  <c r="FL66" i="30" s="1"/>
  <c r="FL62" i="30"/>
  <c r="FJ64" i="30"/>
  <c r="FJ70" i="30" s="1"/>
  <c r="FJ66" i="30" s="1"/>
  <c r="FJ62" i="30"/>
  <c r="FI62" i="30"/>
  <c r="FI64" i="30"/>
  <c r="FI70" i="30" s="1"/>
  <c r="FI66" i="30" s="1"/>
  <c r="GA62" i="30"/>
  <c r="GA64" i="30"/>
  <c r="GA70" i="30" s="1"/>
  <c r="GA66" i="30" s="1"/>
  <c r="FR64" i="30"/>
  <c r="FR70" i="30" s="1"/>
  <c r="FR66" i="30" s="1"/>
  <c r="FR62" i="30"/>
  <c r="FS64" i="30"/>
  <c r="FS70" i="30" s="1"/>
  <c r="FS66" i="30" s="1"/>
  <c r="FS62" i="30"/>
  <c r="C120" i="25"/>
  <c r="V19" i="32"/>
  <c r="AV15" i="32"/>
  <c r="AW15" i="32" s="1"/>
  <c r="Y58" i="30"/>
  <c r="X67" i="30"/>
  <c r="X68" i="30" s="1"/>
  <c r="X81" i="30"/>
  <c r="X79" i="30"/>
  <c r="X61" i="30"/>
  <c r="U77" i="30"/>
  <c r="U83" i="30" s="1"/>
  <c r="U82" i="30"/>
  <c r="V74" i="30"/>
  <c r="V80" i="30"/>
  <c r="W68" i="30"/>
  <c r="G19" i="32" l="1"/>
  <c r="F18" i="32"/>
  <c r="G118" i="25"/>
  <c r="G120" i="25" s="1"/>
  <c r="G72" i="25" s="1"/>
  <c r="G118" i="26"/>
  <c r="G120" i="26" s="1"/>
  <c r="G72" i="26" s="1"/>
  <c r="AF19" i="4"/>
  <c r="V17" i="32"/>
  <c r="V21" i="32" s="1"/>
  <c r="U21" i="32"/>
  <c r="G71" i="25"/>
  <c r="G71" i="26"/>
  <c r="AY15" i="32"/>
  <c r="AZ15" i="32" s="1"/>
  <c r="AZ19" i="32" s="1"/>
  <c r="AW19" i="32"/>
  <c r="W74" i="30"/>
  <c r="W80" i="30"/>
  <c r="V77" i="30"/>
  <c r="V83" i="30" s="1"/>
  <c r="V82" i="30"/>
  <c r="X74" i="30"/>
  <c r="X80" i="30"/>
  <c r="Z58" i="30"/>
  <c r="Y81" i="30"/>
  <c r="Y67" i="30"/>
  <c r="Y61" i="30"/>
  <c r="Y79" i="30"/>
  <c r="F21" i="32" l="1"/>
  <c r="G18" i="32"/>
  <c r="AA58" i="30"/>
  <c r="Z81" i="30"/>
  <c r="Z67" i="30"/>
  <c r="Z61" i="30"/>
  <c r="Z79" i="30"/>
  <c r="Y68" i="30"/>
  <c r="X77" i="30"/>
  <c r="X82" i="30"/>
  <c r="W77" i="30"/>
  <c r="W83" i="30" s="1"/>
  <c r="W82" i="30"/>
  <c r="X83" i="30" l="1"/>
  <c r="Y74" i="30"/>
  <c r="Y80" i="30"/>
  <c r="Z68" i="30"/>
  <c r="AB58" i="30"/>
  <c r="AA81" i="30"/>
  <c r="AA67" i="30"/>
  <c r="AA79" i="30"/>
  <c r="AA61" i="30"/>
  <c r="Z74" i="30" l="1"/>
  <c r="Z80" i="30"/>
  <c r="AA68" i="30"/>
  <c r="AC58" i="30"/>
  <c r="AB81" i="30"/>
  <c r="AB67" i="30"/>
  <c r="AB61" i="30"/>
  <c r="AB79" i="30"/>
  <c r="Y77" i="30"/>
  <c r="Y83" i="30" s="1"/>
  <c r="Y82" i="30"/>
  <c r="AA74" i="30" l="1"/>
  <c r="AA80" i="30"/>
  <c r="AB68" i="30"/>
  <c r="AD58" i="30"/>
  <c r="AC81" i="30"/>
  <c r="AC67" i="30"/>
  <c r="AC79" i="30"/>
  <c r="AC61" i="30"/>
  <c r="Z77" i="30"/>
  <c r="Z83" i="30" s="1"/>
  <c r="Z82" i="30"/>
  <c r="AB74" i="30" l="1"/>
  <c r="AB80" i="30"/>
  <c r="AC68" i="30"/>
  <c r="AE58" i="30"/>
  <c r="AD67" i="30"/>
  <c r="AD68" i="30" s="1"/>
  <c r="AD81" i="30"/>
  <c r="AD79" i="30"/>
  <c r="AD61" i="30"/>
  <c r="AA77" i="30"/>
  <c r="AA83" i="30" s="1"/>
  <c r="AA82" i="30"/>
  <c r="AD74" i="30" l="1"/>
  <c r="AD80" i="30"/>
  <c r="AC74" i="30"/>
  <c r="AC80" i="30"/>
  <c r="AF58" i="30"/>
  <c r="AE67" i="30"/>
  <c r="AE81" i="30"/>
  <c r="AE79" i="30"/>
  <c r="AE61" i="30"/>
  <c r="AB77" i="30"/>
  <c r="AB83" i="30" s="1"/>
  <c r="AB82" i="30"/>
  <c r="AG58" i="30" l="1"/>
  <c r="AF67" i="30"/>
  <c r="AF68" i="30" s="1"/>
  <c r="AF81" i="30"/>
  <c r="AF61" i="30"/>
  <c r="AF79" i="30"/>
  <c r="AC77" i="30"/>
  <c r="AC83" i="30" s="1"/>
  <c r="AC82" i="30"/>
  <c r="AE68" i="30"/>
  <c r="AD77" i="30"/>
  <c r="AD82" i="30"/>
  <c r="AD83" i="30" l="1"/>
  <c r="AE74" i="30"/>
  <c r="AE80" i="30"/>
  <c r="AF74" i="30"/>
  <c r="AF80" i="30"/>
  <c r="AH58" i="30"/>
  <c r="AG81" i="30"/>
  <c r="AG67" i="30"/>
  <c r="AG79" i="30"/>
  <c r="AG61" i="30"/>
  <c r="AI58" i="30" l="1"/>
  <c r="AH67" i="30"/>
  <c r="AH68" i="30" s="1"/>
  <c r="AH81" i="30"/>
  <c r="AH79" i="30"/>
  <c r="AH61" i="30"/>
  <c r="AF77" i="30"/>
  <c r="AF82" i="30"/>
  <c r="AG68" i="30"/>
  <c r="AE77" i="30"/>
  <c r="AE83" i="30" s="1"/>
  <c r="AE82" i="30"/>
  <c r="AF83" i="30" l="1"/>
  <c r="AH74" i="30"/>
  <c r="AH80" i="30"/>
  <c r="AG74" i="30"/>
  <c r="AG80" i="30"/>
  <c r="AJ58" i="30"/>
  <c r="AI81" i="30"/>
  <c r="AI67" i="30"/>
  <c r="AI68" i="30" s="1"/>
  <c r="AI79" i="30"/>
  <c r="AI61" i="30"/>
  <c r="AI74" i="30" l="1"/>
  <c r="AI80" i="30"/>
  <c r="AH77" i="30"/>
  <c r="AH82" i="30"/>
  <c r="AK58" i="30"/>
  <c r="AJ67" i="30"/>
  <c r="AJ68" i="30" s="1"/>
  <c r="AJ81" i="30"/>
  <c r="AJ61" i="30"/>
  <c r="AJ79" i="30"/>
  <c r="AG77" i="30"/>
  <c r="AG83" i="30" s="1"/>
  <c r="AG82" i="30"/>
  <c r="AJ74" i="30" l="1"/>
  <c r="AJ80" i="30"/>
  <c r="AH83" i="30"/>
  <c r="AL58" i="30"/>
  <c r="AK67" i="30"/>
  <c r="AK81" i="30"/>
  <c r="AK61" i="30"/>
  <c r="AK79" i="30"/>
  <c r="AI77" i="30"/>
  <c r="AI83" i="30" s="1"/>
  <c r="AI82" i="30"/>
  <c r="AK68" i="30" l="1"/>
  <c r="AM58" i="30"/>
  <c r="AL81" i="30"/>
  <c r="AL67" i="30"/>
  <c r="AL79" i="30"/>
  <c r="AL61" i="30"/>
  <c r="AJ77" i="30"/>
  <c r="AJ83" i="30" s="1"/>
  <c r="AJ82" i="30"/>
  <c r="AN58" i="30" l="1"/>
  <c r="AM81" i="30"/>
  <c r="AM67" i="30"/>
  <c r="AM68" i="30" s="1"/>
  <c r="AM79" i="30"/>
  <c r="AM61" i="30"/>
  <c r="AK74" i="30"/>
  <c r="AK80" i="30"/>
  <c r="AL68" i="30"/>
  <c r="AM74" i="30" l="1"/>
  <c r="AM80" i="30"/>
  <c r="AK77" i="30"/>
  <c r="AK83" i="30" s="1"/>
  <c r="AK82" i="30"/>
  <c r="AL74" i="30"/>
  <c r="AL80" i="30"/>
  <c r="AO58" i="30"/>
  <c r="AN81" i="30"/>
  <c r="AN67" i="30"/>
  <c r="AN68" i="30" s="1"/>
  <c r="AN61" i="30"/>
  <c r="AN79" i="30"/>
  <c r="AN74" i="30" l="1"/>
  <c r="AN80" i="30"/>
  <c r="AP58" i="30"/>
  <c r="AO81" i="30"/>
  <c r="AO67" i="30"/>
  <c r="AO68" i="30" s="1"/>
  <c r="AO79" i="30"/>
  <c r="AO61" i="30"/>
  <c r="AL77" i="30"/>
  <c r="AL83" i="30" s="1"/>
  <c r="AL82" i="30"/>
  <c r="AM77" i="30"/>
  <c r="AM82" i="30"/>
  <c r="AM83" i="30" l="1"/>
  <c r="AO74" i="30"/>
  <c r="AO80" i="30"/>
  <c r="AQ58" i="30"/>
  <c r="AP67" i="30"/>
  <c r="AP68" i="30" s="1"/>
  <c r="AP81" i="30"/>
  <c r="AP79" i="30"/>
  <c r="AP61" i="30"/>
  <c r="AN77" i="30"/>
  <c r="AN83" i="30" s="1"/>
  <c r="AN82" i="30"/>
  <c r="AP74" i="30" l="1"/>
  <c r="AP80" i="30"/>
  <c r="AR58" i="30"/>
  <c r="AQ81" i="30"/>
  <c r="AQ67" i="30"/>
  <c r="AQ79" i="30"/>
  <c r="AQ61" i="30"/>
  <c r="AO77" i="30"/>
  <c r="AO83" i="30" s="1"/>
  <c r="AO82" i="30"/>
  <c r="AS58" i="30" l="1"/>
  <c r="AR81" i="30"/>
  <c r="AR67" i="30"/>
  <c r="AR61" i="30"/>
  <c r="AR79" i="30"/>
  <c r="AQ68" i="30"/>
  <c r="AP77" i="30"/>
  <c r="AP83" i="30" s="1"/>
  <c r="AP82" i="30"/>
  <c r="AQ74" i="30" l="1"/>
  <c r="AQ80" i="30"/>
  <c r="AT58" i="30"/>
  <c r="AS81" i="30"/>
  <c r="AS67" i="30"/>
  <c r="AS79" i="30"/>
  <c r="AS61" i="30"/>
  <c r="AR68" i="30"/>
  <c r="AU58" i="30" l="1"/>
  <c r="AT67" i="30"/>
  <c r="AT68" i="30" s="1"/>
  <c r="AT81" i="30"/>
  <c r="AT79" i="30"/>
  <c r="AT61" i="30"/>
  <c r="AQ77" i="30"/>
  <c r="AQ83" i="30" s="1"/>
  <c r="AQ82" i="30"/>
  <c r="AR74" i="30"/>
  <c r="AR80" i="30"/>
  <c r="AS68" i="30"/>
  <c r="AS74" i="30" l="1"/>
  <c r="AS80" i="30"/>
  <c r="AT74" i="30"/>
  <c r="AT80" i="30"/>
  <c r="AR77" i="30"/>
  <c r="AR83" i="30" s="1"/>
  <c r="AR82" i="30"/>
  <c r="AV58" i="30"/>
  <c r="AU67" i="30"/>
  <c r="AU81" i="30"/>
  <c r="AU79" i="30"/>
  <c r="AU61" i="30"/>
  <c r="AW58" i="30" l="1"/>
  <c r="AV67" i="30"/>
  <c r="AV81" i="30"/>
  <c r="AV61" i="30"/>
  <c r="AV79" i="30"/>
  <c r="AT77" i="30"/>
  <c r="AT82" i="30"/>
  <c r="AS77" i="30"/>
  <c r="AS83" i="30" s="1"/>
  <c r="AS82" i="30"/>
  <c r="AU68" i="30"/>
  <c r="AT83" i="30" l="1"/>
  <c r="AX58" i="30"/>
  <c r="AW81" i="30"/>
  <c r="AW79" i="30"/>
  <c r="AW67" i="30"/>
  <c r="AW61" i="30"/>
  <c r="AU74" i="30"/>
  <c r="AU80" i="30"/>
  <c r="AV68" i="30"/>
  <c r="AU77" i="30" l="1"/>
  <c r="AU83" i="30" s="1"/>
  <c r="AU82" i="30"/>
  <c r="AV74" i="30"/>
  <c r="AV80" i="30"/>
  <c r="AY58" i="30"/>
  <c r="AX81" i="30"/>
  <c r="AX67" i="30"/>
  <c r="AX68" i="30" s="1"/>
  <c r="AX61" i="30"/>
  <c r="AX79" i="30"/>
  <c r="AW68" i="30"/>
  <c r="AW74" i="30" l="1"/>
  <c r="AW80" i="30"/>
  <c r="AV77" i="30"/>
  <c r="AV83" i="30" s="1"/>
  <c r="AV82" i="30"/>
  <c r="AX74" i="30"/>
  <c r="AX80" i="30"/>
  <c r="AZ58" i="30"/>
  <c r="AY81" i="30"/>
  <c r="AY67" i="30"/>
  <c r="AY68" i="30" s="1"/>
  <c r="AY79" i="30"/>
  <c r="AY61" i="30"/>
  <c r="AY74" i="30" l="1"/>
  <c r="AY80" i="30"/>
  <c r="BA58" i="30"/>
  <c r="AZ67" i="30"/>
  <c r="AZ68" i="30" s="1"/>
  <c r="AZ81" i="30"/>
  <c r="AZ79" i="30"/>
  <c r="AZ61" i="30"/>
  <c r="AX77" i="30"/>
  <c r="AX82" i="30"/>
  <c r="AW77" i="30"/>
  <c r="AW83" i="30" s="1"/>
  <c r="AW82" i="30"/>
  <c r="AZ74" i="30" l="1"/>
  <c r="AZ80" i="30"/>
  <c r="BB58" i="30"/>
  <c r="BA67" i="30"/>
  <c r="BA68" i="30" s="1"/>
  <c r="BA81" i="30"/>
  <c r="BA79" i="30"/>
  <c r="BA61" i="30"/>
  <c r="AX83" i="30"/>
  <c r="AY77" i="30"/>
  <c r="AY83" i="30" s="1"/>
  <c r="AY82" i="30"/>
  <c r="BA74" i="30" l="1"/>
  <c r="BA80" i="30"/>
  <c r="BC58" i="30"/>
  <c r="BB81" i="30"/>
  <c r="BB67" i="30"/>
  <c r="BB68" i="30" s="1"/>
  <c r="BB79" i="30"/>
  <c r="BB61" i="30"/>
  <c r="AZ77" i="30"/>
  <c r="AZ83" i="30" s="1"/>
  <c r="AZ82" i="30"/>
  <c r="BB74" i="30" l="1"/>
  <c r="BB80" i="30"/>
  <c r="BD58" i="30"/>
  <c r="BC81" i="30"/>
  <c r="BC61" i="30"/>
  <c r="BC67" i="30"/>
  <c r="BC68" i="30" s="1"/>
  <c r="BC79" i="30"/>
  <c r="BA77" i="30"/>
  <c r="BA83" i="30" s="1"/>
  <c r="BA82" i="30"/>
  <c r="BE58" i="30" l="1"/>
  <c r="BD81" i="30"/>
  <c r="BD67" i="30"/>
  <c r="BD68" i="30" s="1"/>
  <c r="BD79" i="30"/>
  <c r="BD61" i="30"/>
  <c r="BC74" i="30"/>
  <c r="BC80" i="30"/>
  <c r="BB77" i="30"/>
  <c r="BB83" i="30" s="1"/>
  <c r="BB82" i="30"/>
  <c r="BC77" i="30" l="1"/>
  <c r="BC83" i="30" s="1"/>
  <c r="BC82" i="30"/>
  <c r="BD74" i="30"/>
  <c r="BD80" i="30"/>
  <c r="BF58" i="30"/>
  <c r="BE67" i="30"/>
  <c r="BE81" i="30"/>
  <c r="BE79" i="30"/>
  <c r="BE61" i="30"/>
  <c r="BD77" i="30" l="1"/>
  <c r="BD83" i="30" s="1"/>
  <c r="BD82" i="30"/>
  <c r="BG58" i="30"/>
  <c r="BF81" i="30"/>
  <c r="BF67" i="30"/>
  <c r="BF68" i="30" s="1"/>
  <c r="BF61" i="30"/>
  <c r="BF79" i="30"/>
  <c r="BE68" i="30"/>
  <c r="BF74" i="30" l="1"/>
  <c r="BF80" i="30"/>
  <c r="BH58" i="30"/>
  <c r="BG67" i="30"/>
  <c r="BG68" i="30" s="1"/>
  <c r="BG81" i="30"/>
  <c r="BG79" i="30"/>
  <c r="BG61" i="30"/>
  <c r="BE74" i="30"/>
  <c r="BE80" i="30"/>
  <c r="BG74" i="30" l="1"/>
  <c r="BG80" i="30"/>
  <c r="BI58" i="30"/>
  <c r="BH81" i="30"/>
  <c r="BH67" i="30"/>
  <c r="BH68" i="30" s="1"/>
  <c r="BH61" i="30"/>
  <c r="BH79" i="30"/>
  <c r="BE77" i="30"/>
  <c r="BE83" i="30" s="1"/>
  <c r="BE82" i="30"/>
  <c r="BF77" i="30"/>
  <c r="BF82" i="30"/>
  <c r="BF83" i="30" l="1"/>
  <c r="BH74" i="30"/>
  <c r="BH80" i="30"/>
  <c r="BJ58" i="30"/>
  <c r="BI81" i="30"/>
  <c r="BI67" i="30"/>
  <c r="BI68" i="30" s="1"/>
  <c r="BI79" i="30"/>
  <c r="BI61" i="30"/>
  <c r="BG77" i="30"/>
  <c r="BG83" i="30" s="1"/>
  <c r="BG82" i="30"/>
  <c r="BI74" i="30" l="1"/>
  <c r="BI80" i="30"/>
  <c r="BK58" i="30"/>
  <c r="BJ81" i="30"/>
  <c r="BJ67" i="30"/>
  <c r="BJ68" i="30" s="1"/>
  <c r="BJ61" i="30"/>
  <c r="BJ79" i="30"/>
  <c r="BH77" i="30"/>
  <c r="BH83" i="30" s="1"/>
  <c r="BH82" i="30"/>
  <c r="BJ74" i="30" l="1"/>
  <c r="BJ80" i="30"/>
  <c r="BL58" i="30"/>
  <c r="BK67" i="30"/>
  <c r="BK68" i="30" s="1"/>
  <c r="BK81" i="30"/>
  <c r="BK79" i="30"/>
  <c r="BK61" i="30"/>
  <c r="BI77" i="30"/>
  <c r="BI83" i="30" s="1"/>
  <c r="BI82" i="30"/>
  <c r="BK74" i="30" l="1"/>
  <c r="BK80" i="30"/>
  <c r="BM58" i="30"/>
  <c r="BL81" i="30"/>
  <c r="BL67" i="30"/>
  <c r="BL79" i="30"/>
  <c r="BL61" i="30"/>
  <c r="BJ77" i="30"/>
  <c r="BJ83" i="30" s="1"/>
  <c r="BJ82" i="30"/>
  <c r="BN58" i="30" l="1"/>
  <c r="BM81" i="30"/>
  <c r="BM67" i="30"/>
  <c r="BM79" i="30"/>
  <c r="BM61" i="30"/>
  <c r="BK77" i="30"/>
  <c r="BK83" i="30" s="1"/>
  <c r="BK82" i="30"/>
  <c r="BL68" i="30"/>
  <c r="BM68" i="30" l="1"/>
  <c r="BL74" i="30"/>
  <c r="BL80" i="30"/>
  <c r="BO58" i="30"/>
  <c r="BN81" i="30"/>
  <c r="BN67" i="30"/>
  <c r="BN79" i="30"/>
  <c r="BN61" i="30"/>
  <c r="BL77" i="30" l="1"/>
  <c r="BL83" i="30" s="1"/>
  <c r="BL82" i="30"/>
  <c r="BM74" i="30"/>
  <c r="BM80" i="30"/>
  <c r="BP58" i="30"/>
  <c r="BO67" i="30"/>
  <c r="BO81" i="30"/>
  <c r="BO61" i="30"/>
  <c r="BO79" i="30"/>
  <c r="BN68" i="30"/>
  <c r="BN74" i="30" l="1"/>
  <c r="BN80" i="30"/>
  <c r="BM77" i="30"/>
  <c r="BM83" i="30" s="1"/>
  <c r="BM82" i="30"/>
  <c r="BQ58" i="30"/>
  <c r="BP67" i="30"/>
  <c r="BP81" i="30"/>
  <c r="BP79" i="30"/>
  <c r="BP61" i="30"/>
  <c r="BO68" i="30"/>
  <c r="BR58" i="30" l="1"/>
  <c r="BQ81" i="30"/>
  <c r="BQ61" i="30"/>
  <c r="BQ67" i="30"/>
  <c r="BQ68" i="30" s="1"/>
  <c r="BQ79" i="30"/>
  <c r="BO74" i="30"/>
  <c r="BO80" i="30"/>
  <c r="BP68" i="30"/>
  <c r="BN77" i="30"/>
  <c r="BN83" i="30" s="1"/>
  <c r="BN82" i="30"/>
  <c r="BP74" i="30" l="1"/>
  <c r="BP80" i="30"/>
  <c r="BQ74" i="30"/>
  <c r="BQ80" i="30"/>
  <c r="BO77" i="30"/>
  <c r="BO83" i="30" s="1"/>
  <c r="BO82" i="30"/>
  <c r="BS58" i="30"/>
  <c r="BR67" i="30"/>
  <c r="BR81" i="30"/>
  <c r="BR79" i="30"/>
  <c r="BR61" i="30"/>
  <c r="BQ77" i="30" l="1"/>
  <c r="BQ82" i="30"/>
  <c r="BT58" i="30"/>
  <c r="BS81" i="30"/>
  <c r="BS67" i="30"/>
  <c r="BS68" i="30" s="1"/>
  <c r="BS79" i="30"/>
  <c r="BS61" i="30"/>
  <c r="BR68" i="30"/>
  <c r="BP77" i="30"/>
  <c r="BP83" i="30" s="1"/>
  <c r="BP82" i="30"/>
  <c r="BS74" i="30" l="1"/>
  <c r="BS80" i="30"/>
  <c r="BR74" i="30"/>
  <c r="BR80" i="30"/>
  <c r="BU58" i="30"/>
  <c r="BT67" i="30"/>
  <c r="BT68" i="30" s="1"/>
  <c r="BT81" i="30"/>
  <c r="BT61" i="30"/>
  <c r="BT79" i="30"/>
  <c r="BQ83" i="30"/>
  <c r="BT74" i="30" l="1"/>
  <c r="BT80" i="30"/>
  <c r="BR77" i="30"/>
  <c r="BR83" i="30" s="1"/>
  <c r="BR82" i="30"/>
  <c r="BV58" i="30"/>
  <c r="BU81" i="30"/>
  <c r="BU67" i="30"/>
  <c r="BU61" i="30"/>
  <c r="BU79" i="30"/>
  <c r="BS77" i="30"/>
  <c r="BS82" i="30"/>
  <c r="BS83" i="30" l="1"/>
  <c r="BU68" i="30"/>
  <c r="BW58" i="30"/>
  <c r="BV67" i="30"/>
  <c r="BV81" i="30"/>
  <c r="BV79" i="30"/>
  <c r="BV61" i="30"/>
  <c r="BT77" i="30"/>
  <c r="BT83" i="30" s="1"/>
  <c r="BT82" i="30"/>
  <c r="BX58" i="30" l="1"/>
  <c r="BW86" i="30"/>
  <c r="BW81" i="30"/>
  <c r="BW67" i="30"/>
  <c r="BW61" i="30"/>
  <c r="BW79" i="30"/>
  <c r="BU74" i="30"/>
  <c r="BU80" i="30"/>
  <c r="BV68" i="30"/>
  <c r="BU77" i="30" l="1"/>
  <c r="BU83" i="30" s="1"/>
  <c r="BU82" i="30"/>
  <c r="D10" i="32"/>
  <c r="E10" i="32" s="1"/>
  <c r="BW87" i="30"/>
  <c r="BY58" i="30"/>
  <c r="BX86" i="30"/>
  <c r="BX87" i="30" s="1"/>
  <c r="BX81" i="30"/>
  <c r="BX67" i="30"/>
  <c r="BX68" i="30" s="1"/>
  <c r="BX79" i="30"/>
  <c r="BX61" i="30"/>
  <c r="BV74" i="30"/>
  <c r="BV80" i="30"/>
  <c r="BW68" i="30"/>
  <c r="BX74" i="30" l="1"/>
  <c r="BX80" i="30"/>
  <c r="BV77" i="30"/>
  <c r="BV83" i="30" s="1"/>
  <c r="BV82" i="30"/>
  <c r="BW74" i="30"/>
  <c r="BW80" i="30"/>
  <c r="BZ58" i="30"/>
  <c r="BY86" i="30"/>
  <c r="BY87" i="30" s="1"/>
  <c r="BY67" i="30"/>
  <c r="BY68" i="30" s="1"/>
  <c r="BY81" i="30"/>
  <c r="BY61" i="30"/>
  <c r="BY79" i="30"/>
  <c r="BY74" i="30" l="1"/>
  <c r="BY80" i="30"/>
  <c r="CA58" i="30"/>
  <c r="BZ86" i="30"/>
  <c r="BZ87" i="30" s="1"/>
  <c r="BZ67" i="30"/>
  <c r="BZ68" i="30" s="1"/>
  <c r="BZ81" i="30"/>
  <c r="BZ61" i="30"/>
  <c r="BZ79" i="30"/>
  <c r="BW77" i="30"/>
  <c r="BW83" i="30" s="1"/>
  <c r="BW82" i="30"/>
  <c r="BX77" i="30"/>
  <c r="BX82" i="30"/>
  <c r="BX83" i="30" l="1"/>
  <c r="CB58" i="30"/>
  <c r="CA86" i="30"/>
  <c r="CA87" i="30" s="1"/>
  <c r="CA81" i="30"/>
  <c r="CA61" i="30"/>
  <c r="CA79" i="30"/>
  <c r="CA67" i="30"/>
  <c r="BZ74" i="30"/>
  <c r="BZ80" i="30"/>
  <c r="BY77" i="30"/>
  <c r="BY83" i="30" s="1"/>
  <c r="BY82" i="30"/>
  <c r="BZ77" i="30" l="1"/>
  <c r="BZ83" i="30" s="1"/>
  <c r="BZ82" i="30"/>
  <c r="CC58" i="30"/>
  <c r="CB86" i="30"/>
  <c r="CB87" i="30" s="1"/>
  <c r="CB81" i="30"/>
  <c r="CB67" i="30"/>
  <c r="CB79" i="30"/>
  <c r="CB61" i="30"/>
  <c r="CA68" i="30"/>
  <c r="CD58" i="30" l="1"/>
  <c r="CC86" i="30"/>
  <c r="CC87" i="30" s="1"/>
  <c r="CC67" i="30"/>
  <c r="CC68" i="30" s="1"/>
  <c r="CC81" i="30"/>
  <c r="CC79" i="30"/>
  <c r="CC61" i="30"/>
  <c r="CB68" i="30"/>
  <c r="CA74" i="30"/>
  <c r="CA80" i="30"/>
  <c r="CA77" i="30" l="1"/>
  <c r="CA83" i="30" s="1"/>
  <c r="CA82" i="30"/>
  <c r="CB74" i="30"/>
  <c r="CB80" i="30"/>
  <c r="CC74" i="30"/>
  <c r="CC80" i="30"/>
  <c r="CE58" i="30"/>
  <c r="CD86" i="30"/>
  <c r="CD87" i="30" s="1"/>
  <c r="CD81" i="30"/>
  <c r="CD67" i="30"/>
  <c r="CD79" i="30"/>
  <c r="CD61" i="30"/>
  <c r="CF58" i="30" l="1"/>
  <c r="CE86" i="30"/>
  <c r="CE87" i="30" s="1"/>
  <c r="CE81" i="30"/>
  <c r="CE67" i="30"/>
  <c r="CE79" i="30"/>
  <c r="CE61" i="30"/>
  <c r="CD68" i="30"/>
  <c r="CB77" i="30"/>
  <c r="CB83" i="30" s="1"/>
  <c r="CB82" i="30"/>
  <c r="CC77" i="30"/>
  <c r="CC82" i="30"/>
  <c r="CD74" i="30" l="1"/>
  <c r="CD80" i="30"/>
  <c r="CC83" i="30"/>
  <c r="CE68" i="30"/>
  <c r="CG58" i="30"/>
  <c r="CF86" i="30"/>
  <c r="CF87" i="30" s="1"/>
  <c r="CF81" i="30"/>
  <c r="CF67" i="30"/>
  <c r="CF68" i="30" s="1"/>
  <c r="CF79" i="30"/>
  <c r="CF61" i="30"/>
  <c r="CF74" i="30" l="1"/>
  <c r="CF80" i="30"/>
  <c r="CH58" i="30"/>
  <c r="CG86" i="30"/>
  <c r="CG87" i="30" s="1"/>
  <c r="CG67" i="30"/>
  <c r="CG68" i="30" s="1"/>
  <c r="CG81" i="30"/>
  <c r="CG79" i="30"/>
  <c r="CG61" i="30"/>
  <c r="CE74" i="30"/>
  <c r="CE80" i="30"/>
  <c r="CD77" i="30"/>
  <c r="CD83" i="30" s="1"/>
  <c r="CD82" i="30"/>
  <c r="CI58" i="30" l="1"/>
  <c r="CH86" i="30"/>
  <c r="CH87" i="30" s="1"/>
  <c r="CH81" i="30"/>
  <c r="CH67" i="30"/>
  <c r="CH68" i="30" s="1"/>
  <c r="CH79" i="30"/>
  <c r="CH61" i="30"/>
  <c r="CE77" i="30"/>
  <c r="CE83" i="30" s="1"/>
  <c r="CE82" i="30"/>
  <c r="CG74" i="30"/>
  <c r="CG80" i="30"/>
  <c r="CF77" i="30"/>
  <c r="CF83" i="30" s="1"/>
  <c r="CF82" i="30"/>
  <c r="CG77" i="30" l="1"/>
  <c r="CG83" i="30" s="1"/>
  <c r="CG82" i="30"/>
  <c r="CH74" i="30"/>
  <c r="CH80" i="30"/>
  <c r="CJ58" i="30"/>
  <c r="CI86" i="30"/>
  <c r="CI81" i="30"/>
  <c r="CI61" i="30"/>
  <c r="CI79" i="30"/>
  <c r="CI67" i="30"/>
  <c r="CH77" i="30" l="1"/>
  <c r="CH83" i="30" s="1"/>
  <c r="CH82" i="30"/>
  <c r="D11" i="32"/>
  <c r="E11" i="32" s="1"/>
  <c r="CI87" i="30"/>
  <c r="CI68" i="30"/>
  <c r="CK58" i="30"/>
  <c r="CJ86" i="30"/>
  <c r="CJ87" i="30" s="1"/>
  <c r="CJ81" i="30"/>
  <c r="CJ67" i="30"/>
  <c r="CJ68" i="30" s="1"/>
  <c r="CJ79" i="30"/>
  <c r="CJ61" i="30"/>
  <c r="CJ74" i="30" l="1"/>
  <c r="CJ80" i="30"/>
  <c r="CL58" i="30"/>
  <c r="CK86" i="30"/>
  <c r="CK87" i="30" s="1"/>
  <c r="CK67" i="30"/>
  <c r="CK81" i="30"/>
  <c r="CK61" i="30"/>
  <c r="CK79" i="30"/>
  <c r="CK68" i="30"/>
  <c r="CI74" i="30"/>
  <c r="CI80" i="30"/>
  <c r="CM58" i="30" l="1"/>
  <c r="CL86" i="30"/>
  <c r="CL87" i="30" s="1"/>
  <c r="CL81" i="30"/>
  <c r="CL67" i="30"/>
  <c r="CL79" i="30"/>
  <c r="CL61" i="30"/>
  <c r="CI77" i="30"/>
  <c r="CI83" i="30" s="1"/>
  <c r="CI82" i="30"/>
  <c r="CK74" i="30"/>
  <c r="CK80" i="30"/>
  <c r="CJ77" i="30"/>
  <c r="CJ83" i="30" s="1"/>
  <c r="CJ82" i="30"/>
  <c r="CK77" i="30" l="1"/>
  <c r="CK83" i="30" s="1"/>
  <c r="CK82" i="30"/>
  <c r="CL68" i="30"/>
  <c r="CN58" i="30"/>
  <c r="CM86" i="30"/>
  <c r="CM87" i="30" s="1"/>
  <c r="CM67" i="30"/>
  <c r="CM81" i="30"/>
  <c r="CM61" i="30"/>
  <c r="CM79" i="30"/>
  <c r="CL74" i="30" l="1"/>
  <c r="CL80" i="30"/>
  <c r="CM68" i="30"/>
  <c r="CO58" i="30"/>
  <c r="CN86" i="30"/>
  <c r="CN87" i="30" s="1"/>
  <c r="CN67" i="30"/>
  <c r="CN81" i="30"/>
  <c r="CN79" i="30"/>
  <c r="CN61" i="30"/>
  <c r="CM74" i="30" l="1"/>
  <c r="CM80" i="30"/>
  <c r="CN68" i="30"/>
  <c r="CP58" i="30"/>
  <c r="CO86" i="30"/>
  <c r="CO87" i="30" s="1"/>
  <c r="CO81" i="30"/>
  <c r="CO67" i="30"/>
  <c r="CO61" i="30"/>
  <c r="CO79" i="30"/>
  <c r="CL77" i="30"/>
  <c r="CL83" i="30" s="1"/>
  <c r="CL82" i="30"/>
  <c r="CN74" i="30" l="1"/>
  <c r="CN80" i="30"/>
  <c r="CO68" i="30"/>
  <c r="CQ58" i="30"/>
  <c r="CP86" i="30"/>
  <c r="CP87" i="30" s="1"/>
  <c r="CP81" i="30"/>
  <c r="CP67" i="30"/>
  <c r="CP61" i="30"/>
  <c r="CP79" i="30"/>
  <c r="CM77" i="30"/>
  <c r="CM83" i="30" s="1"/>
  <c r="CM82" i="30"/>
  <c r="CO74" i="30" l="1"/>
  <c r="CO80" i="30"/>
  <c r="CN77" i="30"/>
  <c r="CN83" i="30" s="1"/>
  <c r="CN82" i="30"/>
  <c r="CR58" i="30"/>
  <c r="CQ86" i="30"/>
  <c r="CQ87" i="30" s="1"/>
  <c r="CQ67" i="30"/>
  <c r="CQ81" i="30"/>
  <c r="CQ79" i="30"/>
  <c r="CQ61" i="30"/>
  <c r="CP68" i="30"/>
  <c r="CP74" i="30" l="1"/>
  <c r="CP80" i="30"/>
  <c r="CS58" i="30"/>
  <c r="CR86" i="30"/>
  <c r="CR87" i="30" s="1"/>
  <c r="CR81" i="30"/>
  <c r="CR67" i="30"/>
  <c r="CR61" i="30"/>
  <c r="CR79" i="30"/>
  <c r="CO77" i="30"/>
  <c r="CO83" i="30" s="1"/>
  <c r="CO82" i="30"/>
  <c r="CQ68" i="30"/>
  <c r="CQ74" i="30" l="1"/>
  <c r="CQ80" i="30"/>
  <c r="CT58" i="30"/>
  <c r="CS86" i="30"/>
  <c r="CS87" i="30" s="1"/>
  <c r="CS67" i="30"/>
  <c r="CS81" i="30"/>
  <c r="CS61" i="30"/>
  <c r="CS79" i="30"/>
  <c r="CS68" i="30"/>
  <c r="CR68" i="30"/>
  <c r="CP77" i="30"/>
  <c r="CP83" i="30" s="1"/>
  <c r="CP82" i="30"/>
  <c r="CU58" i="30" l="1"/>
  <c r="CT86" i="30"/>
  <c r="CT87" i="30" s="1"/>
  <c r="CT81" i="30"/>
  <c r="CT67" i="30"/>
  <c r="CT79" i="30"/>
  <c r="CT61" i="30"/>
  <c r="CR74" i="30"/>
  <c r="CR80" i="30"/>
  <c r="CS74" i="30"/>
  <c r="CS80" i="30"/>
  <c r="CQ77" i="30"/>
  <c r="CQ83" i="30" s="1"/>
  <c r="CQ82" i="30"/>
  <c r="CS77" i="30" l="1"/>
  <c r="CS82" i="30"/>
  <c r="CT68" i="30"/>
  <c r="CR77" i="30"/>
  <c r="CR83" i="30" s="1"/>
  <c r="CR82" i="30"/>
  <c r="CV58" i="30"/>
  <c r="CU86" i="30"/>
  <c r="CU67" i="30"/>
  <c r="CU81" i="30"/>
  <c r="CU61" i="30"/>
  <c r="CU79" i="30"/>
  <c r="D12" i="32" l="1"/>
  <c r="E12" i="32" s="1"/>
  <c r="CU87" i="30"/>
  <c r="CT74" i="30"/>
  <c r="CT80" i="30"/>
  <c r="CW58" i="30"/>
  <c r="CV86" i="30"/>
  <c r="CV87" i="30" s="1"/>
  <c r="CV81" i="30"/>
  <c r="CV79" i="30"/>
  <c r="CV67" i="30"/>
  <c r="CV61" i="30"/>
  <c r="CU68" i="30"/>
  <c r="CS83" i="30"/>
  <c r="CU74" i="30" l="1"/>
  <c r="CU80" i="30"/>
  <c r="CT77" i="30"/>
  <c r="CT83" i="30" s="1"/>
  <c r="CT82" i="30"/>
  <c r="CX58" i="30"/>
  <c r="CW86" i="30"/>
  <c r="CW87" i="30" s="1"/>
  <c r="CW67" i="30"/>
  <c r="CW81" i="30"/>
  <c r="CW79" i="30"/>
  <c r="CW61" i="30"/>
  <c r="CV68" i="30"/>
  <c r="CV74" i="30" l="1"/>
  <c r="CV80" i="30"/>
  <c r="CY58" i="30"/>
  <c r="CX86" i="30"/>
  <c r="CX87" i="30" s="1"/>
  <c r="CX81" i="30"/>
  <c r="CX67" i="30"/>
  <c r="CX61" i="30"/>
  <c r="CX79" i="30"/>
  <c r="CW68" i="30"/>
  <c r="CU77" i="30"/>
  <c r="CU83" i="30" s="1"/>
  <c r="CU82" i="30"/>
  <c r="CZ58" i="30" l="1"/>
  <c r="CY86" i="30"/>
  <c r="CY87" i="30" s="1"/>
  <c r="CY67" i="30"/>
  <c r="CY68" i="30" s="1"/>
  <c r="CY81" i="30"/>
  <c r="CY79" i="30"/>
  <c r="CY61" i="30"/>
  <c r="CW74" i="30"/>
  <c r="CW80" i="30"/>
  <c r="CX68" i="30"/>
  <c r="CV77" i="30"/>
  <c r="CV83" i="30" s="1"/>
  <c r="CV82" i="30"/>
  <c r="CW77" i="30" l="1"/>
  <c r="CW83" i="30" s="1"/>
  <c r="CW82" i="30"/>
  <c r="CY74" i="30"/>
  <c r="CY80" i="30"/>
  <c r="CX74" i="30"/>
  <c r="CX80" i="30"/>
  <c r="DA58" i="30"/>
  <c r="CZ86" i="30"/>
  <c r="CZ87" i="30" s="1"/>
  <c r="CZ81" i="30"/>
  <c r="CZ67" i="30"/>
  <c r="CZ68" i="30" s="1"/>
  <c r="CZ61" i="30"/>
  <c r="CZ79" i="30"/>
  <c r="CZ74" i="30" l="1"/>
  <c r="CZ80" i="30"/>
  <c r="DB58" i="30"/>
  <c r="DA86" i="30"/>
  <c r="DA87" i="30" s="1"/>
  <c r="DA81" i="30"/>
  <c r="DA67" i="30"/>
  <c r="DA61" i="30"/>
  <c r="DA79" i="30"/>
  <c r="CY77" i="30"/>
  <c r="CY82" i="30"/>
  <c r="CX77" i="30"/>
  <c r="CX83" i="30" s="1"/>
  <c r="CX82" i="30"/>
  <c r="DA68" i="30" l="1"/>
  <c r="DC58" i="30"/>
  <c r="DB86" i="30"/>
  <c r="DB87" i="30" s="1"/>
  <c r="DB81" i="30"/>
  <c r="DB67" i="30"/>
  <c r="DB79" i="30"/>
  <c r="DB61" i="30"/>
  <c r="CY83" i="30"/>
  <c r="CZ77" i="30"/>
  <c r="CZ83" i="30" s="1"/>
  <c r="CZ82" i="30"/>
  <c r="DD58" i="30" l="1"/>
  <c r="DC86" i="30"/>
  <c r="DC87" i="30" s="1"/>
  <c r="DC81" i="30"/>
  <c r="DC79" i="30"/>
  <c r="DC61" i="30"/>
  <c r="DC67" i="30"/>
  <c r="DC68" i="30" s="1"/>
  <c r="DA74" i="30"/>
  <c r="DA80" i="30"/>
  <c r="DB68" i="30"/>
  <c r="DC74" i="30" l="1"/>
  <c r="DC80" i="30"/>
  <c r="DA77" i="30"/>
  <c r="DA83" i="30" s="1"/>
  <c r="DA82" i="30"/>
  <c r="DB74" i="30"/>
  <c r="DB80" i="30"/>
  <c r="DE58" i="30"/>
  <c r="DD86" i="30"/>
  <c r="DD87" i="30" s="1"/>
  <c r="DD81" i="30"/>
  <c r="DD67" i="30"/>
  <c r="DD79" i="30"/>
  <c r="DD61" i="30"/>
  <c r="DF58" i="30" l="1"/>
  <c r="DE86" i="30"/>
  <c r="DE87" i="30" s="1"/>
  <c r="DE81" i="30"/>
  <c r="DE67" i="30"/>
  <c r="DE61" i="30"/>
  <c r="DE79" i="30"/>
  <c r="DD68" i="30"/>
  <c r="DB77" i="30"/>
  <c r="DB83" i="30" s="1"/>
  <c r="DB82" i="30"/>
  <c r="DC77" i="30"/>
  <c r="DC82" i="30"/>
  <c r="DD74" i="30" l="1"/>
  <c r="DD80" i="30"/>
  <c r="DC83" i="30"/>
  <c r="DE68" i="30"/>
  <c r="DG58" i="30"/>
  <c r="DF86" i="30"/>
  <c r="DF87" i="30" s="1"/>
  <c r="DF67" i="30"/>
  <c r="DF81" i="30"/>
  <c r="DF61" i="30"/>
  <c r="DF79" i="30"/>
  <c r="DF68" i="30" l="1"/>
  <c r="DH58" i="30"/>
  <c r="DG86" i="30"/>
  <c r="DG67" i="30"/>
  <c r="DG81" i="30"/>
  <c r="DG79" i="30"/>
  <c r="DG61" i="30"/>
  <c r="DE74" i="30"/>
  <c r="DE80" i="30"/>
  <c r="DD77" i="30"/>
  <c r="DD83" i="30" s="1"/>
  <c r="DD82" i="30"/>
  <c r="D13" i="32" l="1"/>
  <c r="E13" i="32" s="1"/>
  <c r="DG87" i="30"/>
  <c r="DI58" i="30"/>
  <c r="DH86" i="30"/>
  <c r="DH87" i="30" s="1"/>
  <c r="DH81" i="30"/>
  <c r="DH67" i="30"/>
  <c r="DH79" i="30"/>
  <c r="DH61" i="30"/>
  <c r="DF74" i="30"/>
  <c r="DF80" i="30"/>
  <c r="DE77" i="30"/>
  <c r="DE83" i="30" s="1"/>
  <c r="DE82" i="30"/>
  <c r="DG68" i="30"/>
  <c r="DJ58" i="30" l="1"/>
  <c r="DI86" i="30"/>
  <c r="DI87" i="30" s="1"/>
  <c r="DI81" i="30"/>
  <c r="DI67" i="30"/>
  <c r="DI68" i="30" s="1"/>
  <c r="DI79" i="30"/>
  <c r="DI61" i="30"/>
  <c r="DG74" i="30"/>
  <c r="DG80" i="30"/>
  <c r="DH68" i="30"/>
  <c r="DF77" i="30"/>
  <c r="DF83" i="30" s="1"/>
  <c r="DF82" i="30"/>
  <c r="DI74" i="30" l="1"/>
  <c r="DI80" i="30"/>
  <c r="DG77" i="30"/>
  <c r="DG83" i="30" s="1"/>
  <c r="DG82" i="30"/>
  <c r="DH74" i="30"/>
  <c r="DH80" i="30"/>
  <c r="DK58" i="30"/>
  <c r="DJ86" i="30"/>
  <c r="DJ87" i="30" s="1"/>
  <c r="DJ67" i="30"/>
  <c r="DJ68" i="30" s="1"/>
  <c r="DJ81" i="30"/>
  <c r="DJ61" i="30"/>
  <c r="DJ79" i="30"/>
  <c r="DJ74" i="30" l="1"/>
  <c r="DJ80" i="30"/>
  <c r="DH77" i="30"/>
  <c r="DH83" i="30" s="1"/>
  <c r="DH82" i="30"/>
  <c r="DL58" i="30"/>
  <c r="DK86" i="30"/>
  <c r="DK87" i="30" s="1"/>
  <c r="DK67" i="30"/>
  <c r="DK81" i="30"/>
  <c r="DK79" i="30"/>
  <c r="DK61" i="30"/>
  <c r="DI77" i="30"/>
  <c r="DI82" i="30"/>
  <c r="DI83" i="30" l="1"/>
  <c r="DK68" i="30"/>
  <c r="DM58" i="30"/>
  <c r="DL86" i="30"/>
  <c r="DL87" i="30" s="1"/>
  <c r="DL81" i="30"/>
  <c r="DL67" i="30"/>
  <c r="DL61" i="30"/>
  <c r="DL79" i="30"/>
  <c r="DJ77" i="30"/>
  <c r="DJ83" i="30" s="1"/>
  <c r="DJ82" i="30"/>
  <c r="DN58" i="30" l="1"/>
  <c r="DM86" i="30"/>
  <c r="DM87" i="30" s="1"/>
  <c r="DM81" i="30"/>
  <c r="DM67" i="30"/>
  <c r="DM79" i="30"/>
  <c r="DM61" i="30"/>
  <c r="DK74" i="30"/>
  <c r="DK80" i="30"/>
  <c r="DL68" i="30"/>
  <c r="DK77" i="30" l="1"/>
  <c r="DK83" i="30" s="1"/>
  <c r="DK82" i="30"/>
  <c r="DM68" i="30"/>
  <c r="DL74" i="30"/>
  <c r="DL80" i="30"/>
  <c r="DO58" i="30"/>
  <c r="DN86" i="30"/>
  <c r="DN87" i="30" s="1"/>
  <c r="DN81" i="30"/>
  <c r="DN67" i="30"/>
  <c r="DN61" i="30"/>
  <c r="DN79" i="30"/>
  <c r="DM74" i="30" l="1"/>
  <c r="DM80" i="30"/>
  <c r="DP58" i="30"/>
  <c r="DO86" i="30"/>
  <c r="DO87" i="30" s="1"/>
  <c r="DO67" i="30"/>
  <c r="DO81" i="30"/>
  <c r="DO61" i="30"/>
  <c r="DO79" i="30"/>
  <c r="DO68" i="30"/>
  <c r="DL77" i="30"/>
  <c r="DL83" i="30" s="1"/>
  <c r="DL82" i="30"/>
  <c r="DN68" i="30"/>
  <c r="DN74" i="30" l="1"/>
  <c r="DN80" i="30"/>
  <c r="DQ58" i="30"/>
  <c r="DP86" i="30"/>
  <c r="DP87" i="30" s="1"/>
  <c r="DP67" i="30"/>
  <c r="DP81" i="30"/>
  <c r="DP79" i="30"/>
  <c r="DP61" i="30"/>
  <c r="DO74" i="30"/>
  <c r="DO80" i="30"/>
  <c r="DP68" i="30"/>
  <c r="DM77" i="30"/>
  <c r="DM83" i="30" s="1"/>
  <c r="DM82" i="30"/>
  <c r="DR58" i="30" l="1"/>
  <c r="DQ86" i="30"/>
  <c r="DQ87" i="30" s="1"/>
  <c r="DQ81" i="30"/>
  <c r="DQ67" i="30"/>
  <c r="DQ61" i="30"/>
  <c r="DQ79" i="30"/>
  <c r="DP74" i="30"/>
  <c r="DP80" i="30"/>
  <c r="DO77" i="30"/>
  <c r="DO82" i="30"/>
  <c r="DN77" i="30"/>
  <c r="DN83" i="30" s="1"/>
  <c r="DN82" i="30"/>
  <c r="DO83" i="30" l="1"/>
  <c r="DQ68" i="30"/>
  <c r="DP77" i="30"/>
  <c r="DP83" i="30" s="1"/>
  <c r="DP82" i="30"/>
  <c r="DS58" i="30"/>
  <c r="DR86" i="30"/>
  <c r="DR87" i="30" s="1"/>
  <c r="DR81" i="30"/>
  <c r="DR67" i="30"/>
  <c r="DR79" i="30"/>
  <c r="DR61" i="30"/>
  <c r="DR68" i="30" l="1"/>
  <c r="DR74" i="30" s="1"/>
  <c r="DQ74" i="30"/>
  <c r="DQ80" i="30"/>
  <c r="DT58" i="30"/>
  <c r="DS86" i="30"/>
  <c r="DS81" i="30"/>
  <c r="DS67" i="30"/>
  <c r="DS79" i="30"/>
  <c r="DS61" i="30"/>
  <c r="DR82" i="30" l="1"/>
  <c r="DR77" i="30"/>
  <c r="DR80" i="30"/>
  <c r="DS68" i="30"/>
  <c r="D14" i="32"/>
  <c r="E14" i="32" s="1"/>
  <c r="DS87" i="30"/>
  <c r="DU58" i="30"/>
  <c r="DT86" i="30"/>
  <c r="DT87" i="30" s="1"/>
  <c r="DT81" i="30"/>
  <c r="DT67" i="30"/>
  <c r="DT79" i="30"/>
  <c r="DT61" i="30"/>
  <c r="DQ77" i="30"/>
  <c r="DQ83" i="30" s="1"/>
  <c r="DQ82" i="30"/>
  <c r="DS74" i="30" l="1"/>
  <c r="DS80" i="30"/>
  <c r="DT68" i="30"/>
  <c r="DV58" i="30"/>
  <c r="DU86" i="30"/>
  <c r="DU87" i="30" s="1"/>
  <c r="DU81" i="30"/>
  <c r="DU67" i="30"/>
  <c r="DU79" i="30"/>
  <c r="DU61" i="30"/>
  <c r="DR83" i="30"/>
  <c r="DT74" i="30" l="1"/>
  <c r="DT80" i="30"/>
  <c r="DS77" i="30"/>
  <c r="DS83" i="30" s="1"/>
  <c r="DS82" i="30"/>
  <c r="DU68" i="30"/>
  <c r="DW58" i="30"/>
  <c r="DV86" i="30"/>
  <c r="DV87" i="30" s="1"/>
  <c r="DV67" i="30"/>
  <c r="DV81" i="30"/>
  <c r="DV79" i="30"/>
  <c r="DV61" i="30"/>
  <c r="DU74" i="30" l="1"/>
  <c r="DU80" i="30"/>
  <c r="DT82" i="30"/>
  <c r="DT77" i="30"/>
  <c r="DT83" i="30" s="1"/>
  <c r="DV68" i="30"/>
  <c r="DX58" i="30"/>
  <c r="DW86" i="30"/>
  <c r="DW87" i="30" s="1"/>
  <c r="DW67" i="30"/>
  <c r="DW81" i="30"/>
  <c r="DW61" i="30"/>
  <c r="DW79" i="30"/>
  <c r="DV74" i="30" l="1"/>
  <c r="DV80" i="30"/>
  <c r="DW68" i="30"/>
  <c r="DU77" i="30"/>
  <c r="DU83" i="30" s="1"/>
  <c r="DU82" i="30"/>
  <c r="DY58" i="30"/>
  <c r="DX86" i="30"/>
  <c r="DX87" i="30" s="1"/>
  <c r="DX67" i="30"/>
  <c r="DX81" i="30"/>
  <c r="DX79" i="30"/>
  <c r="DX61" i="30"/>
  <c r="DW74" i="30" l="1"/>
  <c r="DW80" i="30"/>
  <c r="DV77" i="30"/>
  <c r="DV83" i="30" s="1"/>
  <c r="DV82" i="30"/>
  <c r="DX68" i="30"/>
  <c r="DZ58" i="30"/>
  <c r="DY86" i="30"/>
  <c r="DY87" i="30" s="1"/>
  <c r="DY81" i="30"/>
  <c r="DY67" i="30"/>
  <c r="DY61" i="30"/>
  <c r="DY79" i="30"/>
  <c r="DX80" i="30" l="1"/>
  <c r="DX74" i="30"/>
  <c r="DW82" i="30"/>
  <c r="DW77" i="30"/>
  <c r="DW83" i="30" s="1"/>
  <c r="DY68" i="30"/>
  <c r="EA58" i="30"/>
  <c r="DZ86" i="30"/>
  <c r="DZ87" i="30" s="1"/>
  <c r="DZ81" i="30"/>
  <c r="DZ67" i="30"/>
  <c r="DZ61" i="30"/>
  <c r="DZ79" i="30"/>
  <c r="DY74" i="30" l="1"/>
  <c r="DY80" i="30"/>
  <c r="DX77" i="30"/>
  <c r="DX83" i="30" s="1"/>
  <c r="DX82" i="30"/>
  <c r="DZ68" i="30"/>
  <c r="EB58" i="30"/>
  <c r="EA86" i="30"/>
  <c r="EA87" i="30" s="1"/>
  <c r="EA81" i="30"/>
  <c r="EA67" i="30"/>
  <c r="EA61" i="30"/>
  <c r="EA79" i="30"/>
  <c r="DZ74" i="30" l="1"/>
  <c r="DZ80" i="30"/>
  <c r="DY77" i="30"/>
  <c r="DY83" i="30" s="1"/>
  <c r="DY82" i="30"/>
  <c r="EA68" i="30"/>
  <c r="EC58" i="30"/>
  <c r="EB86" i="30"/>
  <c r="EB87" i="30" s="1"/>
  <c r="EB81" i="30"/>
  <c r="EB79" i="30"/>
  <c r="EB61" i="30"/>
  <c r="EB67" i="30"/>
  <c r="EA74" i="30" l="1"/>
  <c r="EA80" i="30"/>
  <c r="DZ77" i="30"/>
  <c r="DZ83" i="30" s="1"/>
  <c r="DZ82" i="30"/>
  <c r="EB68" i="30"/>
  <c r="ED58" i="30"/>
  <c r="EC86" i="30"/>
  <c r="EC87" i="30" s="1"/>
  <c r="EC67" i="30"/>
  <c r="EC81" i="30"/>
  <c r="EC61" i="30"/>
  <c r="EC79" i="30"/>
  <c r="EB74" i="30" l="1"/>
  <c r="EB80" i="30"/>
  <c r="EA77" i="30"/>
  <c r="EA83" i="30" s="1"/>
  <c r="EA82" i="30"/>
  <c r="EC68" i="30"/>
  <c r="EE58" i="30"/>
  <c r="ED86" i="30"/>
  <c r="ED87" i="30" s="1"/>
  <c r="ED81" i="30"/>
  <c r="ED67" i="30"/>
  <c r="ED79" i="30"/>
  <c r="ED61" i="30"/>
  <c r="EC74" i="30" l="1"/>
  <c r="EC80" i="30"/>
  <c r="ED68" i="30"/>
  <c r="EB77" i="30"/>
  <c r="EB83" i="30" s="1"/>
  <c r="EB82" i="30"/>
  <c r="EF58" i="30"/>
  <c r="EE86" i="30"/>
  <c r="EE67" i="30"/>
  <c r="EE81" i="30"/>
  <c r="EE79" i="30"/>
  <c r="EE61" i="30"/>
  <c r="EE87" i="30" l="1"/>
  <c r="D15" i="32"/>
  <c r="E15" i="32" s="1"/>
  <c r="ED74" i="30"/>
  <c r="ED80" i="30"/>
  <c r="EC82" i="30"/>
  <c r="EC77" i="30"/>
  <c r="EC83" i="30" s="1"/>
  <c r="EE68" i="30"/>
  <c r="EG58" i="30"/>
  <c r="EF86" i="30"/>
  <c r="EF87" i="30" s="1"/>
  <c r="EF81" i="30"/>
  <c r="EF61" i="30"/>
  <c r="EF67" i="30"/>
  <c r="EF79" i="30"/>
  <c r="EE74" i="30" l="1"/>
  <c r="EE80" i="30"/>
  <c r="ED82" i="30"/>
  <c r="ED77" i="30"/>
  <c r="ED83" i="30" s="1"/>
  <c r="EF68" i="30"/>
  <c r="EH58" i="30"/>
  <c r="EG86" i="30"/>
  <c r="EG87" i="30" s="1"/>
  <c r="EG81" i="30"/>
  <c r="EG67" i="30"/>
  <c r="EG79" i="30"/>
  <c r="EG61" i="30"/>
  <c r="EF80" i="30" l="1"/>
  <c r="EF74" i="30"/>
  <c r="EE82" i="30"/>
  <c r="EE77" i="30"/>
  <c r="EE83" i="30" s="1"/>
  <c r="EG68" i="30"/>
  <c r="EI58" i="30"/>
  <c r="EH86" i="30"/>
  <c r="EH87" i="30" s="1"/>
  <c r="EH67" i="30"/>
  <c r="EH81" i="30"/>
  <c r="EH61" i="30"/>
  <c r="EH79" i="30"/>
  <c r="EG74" i="30" l="1"/>
  <c r="EG80" i="30"/>
  <c r="EF77" i="30"/>
  <c r="EF83" i="30" s="1"/>
  <c r="EF82" i="30"/>
  <c r="EH68" i="30"/>
  <c r="EH74" i="30" s="1"/>
  <c r="EH77" i="30" s="1"/>
  <c r="EJ58" i="30"/>
  <c r="EI86" i="30"/>
  <c r="EI87" i="30" s="1"/>
  <c r="EI67" i="30"/>
  <c r="EI68" i="30" s="1"/>
  <c r="EI81" i="30"/>
  <c r="EI79" i="30"/>
  <c r="EI61" i="30"/>
  <c r="EH82" i="30" l="1"/>
  <c r="EI80" i="30"/>
  <c r="EI74" i="30"/>
  <c r="EH80" i="30"/>
  <c r="EG77" i="30"/>
  <c r="EG83" i="30" s="1"/>
  <c r="EG82" i="30"/>
  <c r="EI77" i="30"/>
  <c r="EI82" i="30"/>
  <c r="EK58" i="30"/>
  <c r="EJ86" i="30"/>
  <c r="EJ87" i="30" s="1"/>
  <c r="EJ81" i="30"/>
  <c r="EJ79" i="30"/>
  <c r="EJ67" i="30"/>
  <c r="EJ68" i="30" s="1"/>
  <c r="EJ61" i="30"/>
  <c r="EI83" i="30" l="1"/>
  <c r="EH83" i="30"/>
  <c r="EJ74" i="30"/>
  <c r="EJ77" i="30" s="1"/>
  <c r="EJ83" i="30" s="1"/>
  <c r="EJ80" i="30"/>
  <c r="EL58" i="30"/>
  <c r="EK86" i="30"/>
  <c r="EK87" i="30" s="1"/>
  <c r="EK81" i="30"/>
  <c r="EK67" i="30"/>
  <c r="EK61" i="30"/>
  <c r="EK79" i="30"/>
  <c r="EJ82" i="30" l="1"/>
  <c r="EK68" i="30"/>
  <c r="EM58" i="30"/>
  <c r="EL86" i="30"/>
  <c r="EL87" i="30" s="1"/>
  <c r="EL81" i="30"/>
  <c r="EL67" i="30"/>
  <c r="EL79" i="30"/>
  <c r="EL61" i="30"/>
  <c r="EK80" i="30" l="1"/>
  <c r="EK74" i="30"/>
  <c r="EL68" i="30"/>
  <c r="EN58" i="30"/>
  <c r="EM86" i="30"/>
  <c r="EM87" i="30" s="1"/>
  <c r="EM81" i="30"/>
  <c r="EM67" i="30"/>
  <c r="EM79" i="30"/>
  <c r="EM61" i="30"/>
  <c r="EL74" i="30" l="1"/>
  <c r="EL80" i="30"/>
  <c r="EK77" i="30"/>
  <c r="EK83" i="30" s="1"/>
  <c r="EK82" i="30"/>
  <c r="EM68" i="30"/>
  <c r="EO58" i="30"/>
  <c r="EN86" i="30"/>
  <c r="EN87" i="30" s="1"/>
  <c r="EN81" i="30"/>
  <c r="EN61" i="30"/>
  <c r="EN79" i="30"/>
  <c r="EN67" i="30"/>
  <c r="EM74" i="30" l="1"/>
  <c r="EM80" i="30"/>
  <c r="EN68" i="30"/>
  <c r="EN74" i="30" s="1"/>
  <c r="EN77" i="30" s="1"/>
  <c r="EL77" i="30"/>
  <c r="EL83" i="30" s="1"/>
  <c r="EL82" i="30"/>
  <c r="EP58" i="30"/>
  <c r="EO86" i="30"/>
  <c r="EO87" i="30" s="1"/>
  <c r="EO81" i="30"/>
  <c r="EO67" i="30"/>
  <c r="EO61" i="30"/>
  <c r="EO79" i="30"/>
  <c r="EN82" i="30" l="1"/>
  <c r="EN80" i="30"/>
  <c r="EM77" i="30"/>
  <c r="EM83" i="30" s="1"/>
  <c r="EM82" i="30"/>
  <c r="EO68" i="30"/>
  <c r="EQ58" i="30"/>
  <c r="EP86" i="30"/>
  <c r="EP87" i="30" s="1"/>
  <c r="EP81" i="30"/>
  <c r="EP67" i="30"/>
  <c r="EP68" i="30" s="1"/>
  <c r="EP74" i="30" s="1"/>
  <c r="EP61" i="30"/>
  <c r="EP79" i="30"/>
  <c r="EN83" i="30" l="1"/>
  <c r="EO80" i="30"/>
  <c r="EO74" i="30"/>
  <c r="EP80" i="30"/>
  <c r="ER58" i="30"/>
  <c r="EQ86" i="30"/>
  <c r="EQ81" i="30"/>
  <c r="EQ67" i="30"/>
  <c r="EQ68" i="30" s="1"/>
  <c r="EQ61" i="30"/>
  <c r="EQ79" i="30"/>
  <c r="EP77" i="30"/>
  <c r="EP82" i="30"/>
  <c r="EQ87" i="30" l="1"/>
  <c r="D16" i="32"/>
  <c r="E16" i="32" s="1"/>
  <c r="EQ80" i="30"/>
  <c r="EQ74" i="30"/>
  <c r="EQ77" i="30" s="1"/>
  <c r="EO82" i="30"/>
  <c r="EO77" i="30"/>
  <c r="EO83" i="30" s="1"/>
  <c r="ES58" i="30"/>
  <c r="ER86" i="30"/>
  <c r="ER87" i="30" s="1"/>
  <c r="ER81" i="30"/>
  <c r="ER67" i="30"/>
  <c r="ER79" i="30"/>
  <c r="ER61" i="30"/>
  <c r="EQ82" i="30" l="1"/>
  <c r="EQ83" i="30"/>
  <c r="ER68" i="30"/>
  <c r="EP83" i="30"/>
  <c r="ET58" i="30"/>
  <c r="ES86" i="30"/>
  <c r="ES87" i="30" s="1"/>
  <c r="ES67" i="30"/>
  <c r="ES81" i="30"/>
  <c r="ES61" i="30"/>
  <c r="ES79" i="30"/>
  <c r="ER74" i="30" l="1"/>
  <c r="ER80" i="30"/>
  <c r="ES68" i="30"/>
  <c r="EU58" i="30"/>
  <c r="ET86" i="30"/>
  <c r="ET87" i="30" s="1"/>
  <c r="ET67" i="30"/>
  <c r="ET81" i="30"/>
  <c r="ET61" i="30"/>
  <c r="ET79" i="30"/>
  <c r="ES80" i="30" l="1"/>
  <c r="ES74" i="30"/>
  <c r="ER77" i="30"/>
  <c r="ER83" i="30" s="1"/>
  <c r="ER82" i="30"/>
  <c r="ET68" i="30"/>
  <c r="EV58" i="30"/>
  <c r="EU86" i="30"/>
  <c r="EU87" i="30" s="1"/>
  <c r="EU81" i="30"/>
  <c r="EU61" i="30"/>
  <c r="EU79" i="30"/>
  <c r="EU67" i="30"/>
  <c r="ES77" i="30" l="1"/>
  <c r="ES83" i="30" s="1"/>
  <c r="ES82" i="30"/>
  <c r="ET74" i="30"/>
  <c r="ET80" i="30"/>
  <c r="EU68" i="30"/>
  <c r="EW58" i="30"/>
  <c r="EV86" i="30"/>
  <c r="EV87" i="30" s="1"/>
  <c r="EV81" i="30"/>
  <c r="EV67" i="30"/>
  <c r="EV79" i="30"/>
  <c r="EV61" i="30"/>
  <c r="ET82" i="30" l="1"/>
  <c r="ET77" i="30"/>
  <c r="ET83" i="30" s="1"/>
  <c r="EV68" i="30"/>
  <c r="EU74" i="30"/>
  <c r="EU80" i="30"/>
  <c r="EX58" i="30"/>
  <c r="EW86" i="30"/>
  <c r="EW87" i="30" s="1"/>
  <c r="EW67" i="30"/>
  <c r="EW81" i="30"/>
  <c r="EW79" i="30"/>
  <c r="EW61" i="30"/>
  <c r="EV74" i="30" l="1"/>
  <c r="EV77" i="30" s="1"/>
  <c r="EV80" i="30"/>
  <c r="EW68" i="30"/>
  <c r="EU77" i="30"/>
  <c r="EU83" i="30" s="1"/>
  <c r="EU82" i="30"/>
  <c r="EY58" i="30"/>
  <c r="EX86" i="30"/>
  <c r="EX87" i="30" s="1"/>
  <c r="EX81" i="30"/>
  <c r="EX79" i="30"/>
  <c r="EX67" i="30"/>
  <c r="EX61" i="30"/>
  <c r="EV82" i="30" l="1"/>
  <c r="EX68" i="30"/>
  <c r="EV83" i="30"/>
  <c r="EW74" i="30"/>
  <c r="EW80" i="30"/>
  <c r="EZ58" i="30"/>
  <c r="EY86" i="30"/>
  <c r="EY87" i="30" s="1"/>
  <c r="EY81" i="30"/>
  <c r="EY61" i="30"/>
  <c r="EY67" i="30"/>
  <c r="EY79" i="30"/>
  <c r="EW82" i="30" l="1"/>
  <c r="EW77" i="30"/>
  <c r="EW83" i="30" s="1"/>
  <c r="EX74" i="30"/>
  <c r="EX80" i="30"/>
  <c r="EY68" i="30"/>
  <c r="FA58" i="30"/>
  <c r="EZ86" i="30"/>
  <c r="EZ87" i="30" s="1"/>
  <c r="EZ81" i="30"/>
  <c r="EZ67" i="30"/>
  <c r="EZ79" i="30"/>
  <c r="EZ61" i="30"/>
  <c r="EY74" i="30" l="1"/>
  <c r="EY80" i="30"/>
  <c r="EX77" i="30"/>
  <c r="EX83" i="30" s="1"/>
  <c r="EX82" i="30"/>
  <c r="EZ68" i="30"/>
  <c r="EZ74" i="30" s="1"/>
  <c r="EZ77" i="30" s="1"/>
  <c r="FB58" i="30"/>
  <c r="FA86" i="30"/>
  <c r="FA87" i="30" s="1"/>
  <c r="FA81" i="30"/>
  <c r="FA67" i="30"/>
  <c r="FA61" i="30"/>
  <c r="FA79" i="30"/>
  <c r="EZ82" i="30" l="1"/>
  <c r="EZ80" i="30"/>
  <c r="FA68" i="30"/>
  <c r="EY77" i="30"/>
  <c r="EY83" i="30" s="1"/>
  <c r="EY82" i="30"/>
  <c r="FC58" i="30"/>
  <c r="FB86" i="30"/>
  <c r="FB87" i="30" s="1"/>
  <c r="FB81" i="30"/>
  <c r="FB79" i="30"/>
  <c r="FB67" i="30"/>
  <c r="FB61" i="30"/>
  <c r="EZ83" i="30" l="1"/>
  <c r="FA80" i="30"/>
  <c r="FA74" i="30"/>
  <c r="FB68" i="30"/>
  <c r="FD58" i="30"/>
  <c r="FC86" i="30"/>
  <c r="FC81" i="30"/>
  <c r="FC61" i="30"/>
  <c r="FC79" i="30"/>
  <c r="FC67" i="30"/>
  <c r="FC87" i="30" l="1"/>
  <c r="D17" i="32"/>
  <c r="E17" i="32" s="1"/>
  <c r="FB74" i="30"/>
  <c r="FB80" i="30"/>
  <c r="FC68" i="30"/>
  <c r="FA77" i="30"/>
  <c r="FA83" i="30" s="1"/>
  <c r="FA82" i="30"/>
  <c r="FE58" i="30"/>
  <c r="FD86" i="30"/>
  <c r="FD87" i="30" s="1"/>
  <c r="FD81" i="30"/>
  <c r="FD79" i="30"/>
  <c r="FD67" i="30"/>
  <c r="FD61" i="30"/>
  <c r="FC80" i="30" l="1"/>
  <c r="FC74" i="30"/>
  <c r="FB82" i="30"/>
  <c r="FB77" i="30"/>
  <c r="FB83" i="30" s="1"/>
  <c r="FD68" i="30"/>
  <c r="FF58" i="30"/>
  <c r="FE86" i="30"/>
  <c r="FE87" i="30" s="1"/>
  <c r="FE81" i="30"/>
  <c r="FE79" i="30"/>
  <c r="FE61" i="30"/>
  <c r="FE67" i="30"/>
  <c r="FE68" i="30" s="1"/>
  <c r="FE74" i="30" l="1"/>
  <c r="FE80" i="30"/>
  <c r="FD74" i="30"/>
  <c r="FD80" i="30"/>
  <c r="FC77" i="30"/>
  <c r="FC83" i="30" s="1"/>
  <c r="FC82" i="30"/>
  <c r="FG58" i="30"/>
  <c r="FF86" i="30"/>
  <c r="FF87" i="30" s="1"/>
  <c r="FF81" i="30"/>
  <c r="FF61" i="30"/>
  <c r="FF67" i="30"/>
  <c r="FF68" i="30" s="1"/>
  <c r="FF79" i="30"/>
  <c r="FE77" i="30"/>
  <c r="FE82" i="30" l="1"/>
  <c r="FF74" i="30"/>
  <c r="FF77" i="30" s="1"/>
  <c r="FF80" i="30"/>
  <c r="FD77" i="30"/>
  <c r="FD83" i="30" s="1"/>
  <c r="FD82" i="30"/>
  <c r="FH58" i="30"/>
  <c r="FG86" i="30"/>
  <c r="FG87" i="30" s="1"/>
  <c r="FG81" i="30"/>
  <c r="FG67" i="30"/>
  <c r="FG61" i="30"/>
  <c r="FG79" i="30"/>
  <c r="FF83" i="30" l="1"/>
  <c r="FF82" i="30"/>
  <c r="FE83" i="30"/>
  <c r="FG68" i="30"/>
  <c r="FI58" i="30"/>
  <c r="FH86" i="30"/>
  <c r="FH87" i="30" s="1"/>
  <c r="FH81" i="30"/>
  <c r="FH61" i="30"/>
  <c r="FH67" i="30"/>
  <c r="FH79" i="30"/>
  <c r="FG74" i="30" l="1"/>
  <c r="FG80" i="30"/>
  <c r="FH68" i="30"/>
  <c r="FJ58" i="30"/>
  <c r="FI86" i="30"/>
  <c r="FI87" i="30" s="1"/>
  <c r="FI81" i="30"/>
  <c r="FI67" i="30"/>
  <c r="FI61" i="30"/>
  <c r="FI79" i="30"/>
  <c r="FH74" i="30" l="1"/>
  <c r="FH80" i="30"/>
  <c r="FG77" i="30"/>
  <c r="FG83" i="30" s="1"/>
  <c r="FG82" i="30"/>
  <c r="FI68" i="30"/>
  <c r="FK58" i="30"/>
  <c r="FJ86" i="30"/>
  <c r="FJ87" i="30" s="1"/>
  <c r="FJ81" i="30"/>
  <c r="FJ61" i="30"/>
  <c r="FJ67" i="30"/>
  <c r="FJ79" i="30"/>
  <c r="FI74" i="30" l="1"/>
  <c r="FI80" i="30"/>
  <c r="FH77" i="30"/>
  <c r="FH83" i="30" s="1"/>
  <c r="FH82" i="30"/>
  <c r="FJ68" i="30"/>
  <c r="FL58" i="30"/>
  <c r="FK86" i="30"/>
  <c r="FK87" i="30" s="1"/>
  <c r="FK81" i="30"/>
  <c r="FK61" i="30"/>
  <c r="FK67" i="30"/>
  <c r="FK79" i="30"/>
  <c r="FJ74" i="30" l="1"/>
  <c r="FJ80" i="30"/>
  <c r="FK68" i="30"/>
  <c r="FI77" i="30"/>
  <c r="FI83" i="30" s="1"/>
  <c r="FI82" i="30"/>
  <c r="FM58" i="30"/>
  <c r="FL86" i="30"/>
  <c r="FL87" i="30" s="1"/>
  <c r="FL81" i="30"/>
  <c r="FL61" i="30"/>
  <c r="FL67" i="30"/>
  <c r="FL79" i="30"/>
  <c r="FK74" i="30" l="1"/>
  <c r="FK80" i="30"/>
  <c r="FJ77" i="30"/>
  <c r="FJ83" i="30" s="1"/>
  <c r="FJ82" i="30"/>
  <c r="FL68" i="30"/>
  <c r="FN58" i="30"/>
  <c r="FM86" i="30"/>
  <c r="FM87" i="30" s="1"/>
  <c r="FM81" i="30"/>
  <c r="FM79" i="30"/>
  <c r="FM61" i="30"/>
  <c r="FM67" i="30"/>
  <c r="FL80" i="30" l="1"/>
  <c r="FL74" i="30"/>
  <c r="FK82" i="30"/>
  <c r="FK77" i="30"/>
  <c r="FK83" i="30" s="1"/>
  <c r="FM68" i="30"/>
  <c r="FO58" i="30"/>
  <c r="FN86" i="30"/>
  <c r="FN87" i="30" s="1"/>
  <c r="FN81" i="30"/>
  <c r="FN67" i="30"/>
  <c r="FN79" i="30"/>
  <c r="FN61" i="30"/>
  <c r="FM74" i="30" l="1"/>
  <c r="FM80" i="30"/>
  <c r="FL77" i="30"/>
  <c r="FL83" i="30" s="1"/>
  <c r="FL82" i="30"/>
  <c r="FN68" i="30"/>
  <c r="FN74" i="30" s="1"/>
  <c r="FN77" i="30" s="1"/>
  <c r="FP58" i="30"/>
  <c r="FO86" i="30"/>
  <c r="FO81" i="30"/>
  <c r="FO67" i="30"/>
  <c r="FO79" i="30"/>
  <c r="FO61" i="30"/>
  <c r="FN82" i="30"/>
  <c r="FO87" i="30" l="1"/>
  <c r="D18" i="32"/>
  <c r="E18" i="32" s="1"/>
  <c r="FO68" i="30"/>
  <c r="FN80" i="30"/>
  <c r="FM77" i="30"/>
  <c r="FM83" i="30" s="1"/>
  <c r="FM82" i="30"/>
  <c r="FQ58" i="30"/>
  <c r="FP86" i="30"/>
  <c r="FP87" i="30" s="1"/>
  <c r="FP81" i="30"/>
  <c r="FP61" i="30"/>
  <c r="FP79" i="30"/>
  <c r="FP67" i="30"/>
  <c r="FO74" i="30" l="1"/>
  <c r="FO80" i="30"/>
  <c r="FP68" i="30"/>
  <c r="FN83" i="30"/>
  <c r="FR58" i="30"/>
  <c r="FQ86" i="30"/>
  <c r="FQ87" i="30" s="1"/>
  <c r="FQ81" i="30"/>
  <c r="FQ79" i="30"/>
  <c r="FQ61" i="30"/>
  <c r="FQ67" i="30"/>
  <c r="FP74" i="30" l="1"/>
  <c r="FP80" i="30"/>
  <c r="FQ68" i="30"/>
  <c r="FO77" i="30"/>
  <c r="FO83" i="30" s="1"/>
  <c r="FO82" i="30"/>
  <c r="FS58" i="30"/>
  <c r="FR86" i="30"/>
  <c r="FR87" i="30" s="1"/>
  <c r="FR81" i="30"/>
  <c r="FR67" i="30"/>
  <c r="FR61" i="30"/>
  <c r="FR79" i="30"/>
  <c r="FQ80" i="30" l="1"/>
  <c r="FQ74" i="30"/>
  <c r="FP77" i="30"/>
  <c r="FP83" i="30" s="1"/>
  <c r="FP82" i="30"/>
  <c r="FR68" i="30"/>
  <c r="FT58" i="30"/>
  <c r="FS86" i="30"/>
  <c r="FS87" i="30" s="1"/>
  <c r="FS81" i="30"/>
  <c r="FS67" i="30"/>
  <c r="FS61" i="30"/>
  <c r="FS79" i="30"/>
  <c r="FQ82" i="30" l="1"/>
  <c r="FQ77" i="30"/>
  <c r="FQ83" i="30" s="1"/>
  <c r="FR80" i="30"/>
  <c r="FR74" i="30"/>
  <c r="FS68" i="30"/>
  <c r="FS74" i="30" s="1"/>
  <c r="FS77" i="30" s="1"/>
  <c r="FU58" i="30"/>
  <c r="FT86" i="30"/>
  <c r="FT87" i="30" s="1"/>
  <c r="FT81" i="30"/>
  <c r="FT61" i="30"/>
  <c r="FT79" i="30"/>
  <c r="FT67" i="30"/>
  <c r="FS82" i="30" l="1"/>
  <c r="FR77" i="30"/>
  <c r="FR83" i="30" s="1"/>
  <c r="FR82" i="30"/>
  <c r="FT68" i="30"/>
  <c r="FS80" i="30"/>
  <c r="FV58" i="30"/>
  <c r="FU86" i="30"/>
  <c r="FU87" i="30" s="1"/>
  <c r="FU81" i="30"/>
  <c r="FU79" i="30"/>
  <c r="FU61" i="30"/>
  <c r="FU67" i="30"/>
  <c r="FS83" i="30" l="1"/>
  <c r="FU68" i="30"/>
  <c r="FU74" i="30" s="1"/>
  <c r="FU77" i="30" s="1"/>
  <c r="FT74" i="30"/>
  <c r="FT80" i="30"/>
  <c r="FW58" i="30"/>
  <c r="FV86" i="30"/>
  <c r="FV87" i="30" s="1"/>
  <c r="FV81" i="30"/>
  <c r="FV61" i="30"/>
  <c r="FV67" i="30"/>
  <c r="FV79" i="30"/>
  <c r="FU82" i="30" l="1"/>
  <c r="FU80" i="30"/>
  <c r="FT77" i="30"/>
  <c r="FT83" i="30" s="1"/>
  <c r="FT82" i="30"/>
  <c r="FV68" i="30"/>
  <c r="FX58" i="30"/>
  <c r="FW86" i="30"/>
  <c r="FW87" i="30" s="1"/>
  <c r="FW81" i="30"/>
  <c r="FW61" i="30"/>
  <c r="FW79" i="30"/>
  <c r="FW67" i="30"/>
  <c r="FU83" i="30" l="1"/>
  <c r="FV74" i="30"/>
  <c r="FV80" i="30"/>
  <c r="FW68" i="30"/>
  <c r="FY58" i="30"/>
  <c r="FX86" i="30"/>
  <c r="FX87" i="30" s="1"/>
  <c r="FX81" i="30"/>
  <c r="FX79" i="30"/>
  <c r="FX67" i="30"/>
  <c r="FX61" i="30"/>
  <c r="FW74" i="30" l="1"/>
  <c r="FW80" i="30"/>
  <c r="FV77" i="30"/>
  <c r="FV83" i="30" s="1"/>
  <c r="FV82" i="30"/>
  <c r="FX68" i="30"/>
  <c r="FZ58" i="30"/>
  <c r="FY86" i="30"/>
  <c r="FY87" i="30" s="1"/>
  <c r="FY81" i="30"/>
  <c r="FY79" i="30"/>
  <c r="FY67" i="30"/>
  <c r="FY61" i="30"/>
  <c r="FX74" i="30" l="1"/>
  <c r="FX80" i="30"/>
  <c r="FY68" i="30"/>
  <c r="FY74" i="30" s="1"/>
  <c r="FY77" i="30" s="1"/>
  <c r="FW77" i="30"/>
  <c r="FW83" i="30" s="1"/>
  <c r="FW82" i="30"/>
  <c r="GA58" i="30"/>
  <c r="FZ86" i="30"/>
  <c r="FZ87" i="30" s="1"/>
  <c r="FZ67" i="30"/>
  <c r="FZ81" i="30"/>
  <c r="FZ61" i="30"/>
  <c r="FZ79" i="30"/>
  <c r="FY82" i="30" l="1"/>
  <c r="FZ68" i="30"/>
  <c r="FX77" i="30"/>
  <c r="FX83" i="30" s="1"/>
  <c r="FX82" i="30"/>
  <c r="FY80" i="30"/>
  <c r="GA86" i="30"/>
  <c r="GA81" i="30"/>
  <c r="C81" i="30" s="1"/>
  <c r="G25" i="19" s="1"/>
  <c r="GA67" i="30"/>
  <c r="GA68" i="30" s="1"/>
  <c r="GA61" i="30"/>
  <c r="GA79" i="30"/>
  <c r="C79" i="30" s="1"/>
  <c r="G23" i="19" s="1"/>
  <c r="GA87" i="30" l="1"/>
  <c r="D19" i="32"/>
  <c r="E19" i="32" s="1"/>
  <c r="FY83" i="30"/>
  <c r="GA80" i="30"/>
  <c r="C80" i="30" s="1"/>
  <c r="G24" i="19" s="1"/>
  <c r="GA74" i="30"/>
  <c r="GA77" i="30" s="1"/>
  <c r="FZ80" i="30"/>
  <c r="FZ74" i="30"/>
  <c r="GA82" i="30" l="1"/>
  <c r="C82" i="30" s="1"/>
  <c r="G26" i="19" s="1"/>
  <c r="FZ77" i="30"/>
  <c r="FZ83" i="30" s="1"/>
  <c r="FZ82" i="30"/>
  <c r="GA83" i="30" l="1"/>
  <c r="C83" i="30" s="1"/>
  <c r="G27" i="19" s="1"/>
</calcChain>
</file>

<file path=xl/comments1.xml><?xml version="1.0" encoding="utf-8"?>
<comments xmlns="http://schemas.openxmlformats.org/spreadsheetml/2006/main">
  <authors>
    <author>Ben Rogers</author>
    <author>Ben</author>
  </authors>
  <commentList>
    <comment ref="B4" authorId="0" shapeId="0">
      <text>
        <r>
          <rPr>
            <sz val="9"/>
            <color indexed="81"/>
            <rFont val="Tahoma"/>
            <family val="2"/>
          </rPr>
          <t>8/25/17:  John override to 4.0%</t>
        </r>
      </text>
    </comment>
    <comment ref="B6" authorId="0" shapeId="0">
      <text>
        <r>
          <rPr>
            <b/>
            <sz val="9"/>
            <color indexed="81"/>
            <rFont val="Tahoma"/>
            <family val="2"/>
          </rPr>
          <t>Ben Rogers:</t>
        </r>
        <r>
          <rPr>
            <sz val="9"/>
            <color indexed="81"/>
            <rFont val="Tahoma"/>
            <family val="2"/>
          </rPr>
          <t xml:space="preserve">
6.4794641% historical calculated for DAC, Region Central over period 200704 - 201704.</t>
        </r>
      </text>
    </comment>
    <comment ref="B12" authorId="0" shapeId="0">
      <text>
        <r>
          <rPr>
            <sz val="9"/>
            <color indexed="81"/>
            <rFont val="Tahoma"/>
            <family val="2"/>
          </rPr>
          <t>8/25/17:  John override to 3.5%</t>
        </r>
      </text>
    </comment>
    <comment ref="G19" authorId="0" shapeId="0">
      <text>
        <r>
          <rPr>
            <sz val="9"/>
            <color indexed="81"/>
            <rFont val="Tahoma"/>
            <family val="2"/>
          </rPr>
          <t>minimum:
Outside DFE &gt; 1600
Inside DFE &gt; 1450</t>
        </r>
      </text>
    </comment>
    <comment ref="B23" authorId="1" shapeId="0">
      <text>
        <r>
          <rPr>
            <b/>
            <sz val="9"/>
            <color indexed="81"/>
            <rFont val="Tahoma"/>
            <family val="2"/>
          </rPr>
          <t>From DG Model 20170808:</t>
        </r>
        <r>
          <rPr>
            <sz val="9"/>
            <color indexed="81"/>
            <rFont val="Tahoma"/>
            <family val="2"/>
          </rPr>
          <t xml:space="preserve">
O&amp;M Cost : 25.00
Others (Monitoring, AM):  3.00
8/25/17:  John override to $20</t>
        </r>
      </text>
    </comment>
    <comment ref="B30" authorId="1" shapeId="0">
      <text>
        <r>
          <rPr>
            <b/>
            <sz val="9"/>
            <color indexed="81"/>
            <rFont val="Tahoma"/>
            <family val="2"/>
          </rPr>
          <t>From DG Model 20170808:</t>
        </r>
        <r>
          <rPr>
            <sz val="9"/>
            <color indexed="81"/>
            <rFont val="Tahoma"/>
            <family val="2"/>
          </rPr>
          <t xml:space="preserve">
Inverter Replacement Time (years):  12
Future Inverter Price Drop (%):  70%
Our approach of using an annual % price decline results in the same 30% price decline in year 12 as the DG model, but allows the flexibility to change replacement year and have the price drop change, as the price should decline more over time.</t>
        </r>
      </text>
    </comment>
    <comment ref="B36" authorId="0" shapeId="0">
      <text>
        <r>
          <rPr>
            <sz val="9"/>
            <color indexed="81"/>
            <rFont val="Tahoma"/>
            <family val="2"/>
          </rPr>
          <t>As per Robert
Based on a 3.3 kWh system, shipping to:
Baja: 0.8 MXN/W
SMA:  0.6 MXN/W
so using the average, 0.7</t>
        </r>
      </text>
    </comment>
    <comment ref="G46" authorId="0" shapeId="0">
      <text>
        <r>
          <rPr>
            <b/>
            <sz val="9"/>
            <color indexed="81"/>
            <rFont val="Tahoma"/>
            <family val="2"/>
          </rPr>
          <t>Ben Rogers:</t>
        </r>
        <r>
          <rPr>
            <sz val="9"/>
            <color indexed="81"/>
            <rFont val="Tahoma"/>
            <family val="2"/>
          </rPr>
          <t xml:space="preserve">
=IF(LOWER(InclUpfront_OM)="true",MIN(G41,-SUMIF(Model!D43:R43,"&gt;"&amp;Cust_LeaseTermYears,Model!D40:R40)),0)</t>
        </r>
      </text>
    </comment>
    <comment ref="G47" authorId="0" shapeId="0">
      <text>
        <r>
          <rPr>
            <b/>
            <sz val="9"/>
            <color indexed="81"/>
            <rFont val="Tahoma"/>
            <family val="2"/>
          </rPr>
          <t>Ben Rogers:</t>
        </r>
        <r>
          <rPr>
            <sz val="9"/>
            <color indexed="81"/>
            <rFont val="Tahoma"/>
            <family val="2"/>
          </rPr>
          <t xml:space="preserve">
=(-SUMIF(Model!D43:R43,"&gt;"&amp;Cust_LeaseTermYears,Model!D40:R40))-G42</t>
        </r>
      </text>
    </comment>
  </commentList>
</comments>
</file>

<file path=xl/comments2.xml><?xml version="1.0" encoding="utf-8"?>
<comments xmlns="http://schemas.openxmlformats.org/spreadsheetml/2006/main">
  <authors>
    <author>Ben</author>
    <author>Ben Rogers</author>
  </authors>
  <commentList>
    <comment ref="I5" authorId="0" shapeId="0">
      <text>
        <r>
          <rPr>
            <sz val="9"/>
            <color indexed="81"/>
            <rFont val="Tahoma"/>
            <family val="2"/>
          </rPr>
          <t>&lt; 3 kWp(DC): use Micro-Inverter
&gt; 3 KWp(DC): use Central Inverter and, for installations with significant shading, an Optimizer</t>
        </r>
      </text>
    </comment>
    <comment ref="I7" authorId="1" shapeId="0">
      <text>
        <r>
          <rPr>
            <sz val="9"/>
            <color indexed="81"/>
            <rFont val="Tahoma"/>
            <family val="2"/>
          </rPr>
          <t>required only with Micro-Inverters</t>
        </r>
      </text>
    </comment>
    <comment ref="I8" authorId="0" shapeId="0">
      <text>
        <r>
          <rPr>
            <sz val="9"/>
            <color indexed="81"/>
            <rFont val="Tahoma"/>
            <family val="2"/>
          </rPr>
          <t>Comes standard on all systems, no input required.</t>
        </r>
      </text>
    </comment>
    <comment ref="B20" authorId="1" shapeId="0">
      <text>
        <r>
          <rPr>
            <sz val="9"/>
            <color indexed="81"/>
            <rFont val="Tahoma"/>
            <family val="2"/>
          </rPr>
          <t>For regions where rates have significant seasonal differences (e.g. Baja), use a Promedio.</t>
        </r>
      </text>
    </comment>
    <comment ref="A34" authorId="1" shapeId="0">
      <text>
        <r>
          <rPr>
            <sz val="9"/>
            <color indexed="81"/>
            <rFont val="Tahoma"/>
            <family val="2"/>
          </rPr>
          <t>Required input to compute annual usage.  
If data is unavailable or customer expects usage to change, enter expected monthly usage in each cell.
If usage history on CFE bill is bi-monthly, enter each value in a single cell and enter "0" for the next month.</t>
        </r>
      </text>
    </comment>
  </commentList>
</comments>
</file>

<file path=xl/comments3.xml><?xml version="1.0" encoding="utf-8"?>
<comments xmlns="http://schemas.openxmlformats.org/spreadsheetml/2006/main">
  <authors>
    <author>Ben Rogers</author>
    <author>Ben</author>
  </authors>
  <commentList>
    <comment ref="C23" authorId="0" shapeId="0">
      <text>
        <r>
          <rPr>
            <sz val="9"/>
            <color indexed="81"/>
            <rFont val="Tahoma"/>
            <family val="2"/>
          </rPr>
          <t>This method assumes that any Customer Initial Payment is split among investors commensurate with their % investment.</t>
        </r>
      </text>
    </comment>
    <comment ref="D23" authorId="0" shapeId="0">
      <text>
        <r>
          <rPr>
            <sz val="9"/>
            <color indexed="81"/>
            <rFont val="Tahoma"/>
            <family val="2"/>
          </rPr>
          <t>This "preferred" method applies ALL of any Customer Initial Payment to the EqInv first, effectively reducing the cost of capital and making more depreciation available to fund</t>
        </r>
      </text>
    </comment>
    <comment ref="A44" authorId="1" shapeId="0">
      <text>
        <r>
          <rPr>
            <b/>
            <sz val="9"/>
            <color indexed="81"/>
            <rFont val="Tahoma"/>
            <family val="2"/>
          </rPr>
          <t>Ben:</t>
        </r>
        <r>
          <rPr>
            <sz val="9"/>
            <color indexed="81"/>
            <rFont val="Tahoma"/>
            <family val="2"/>
          </rPr>
          <t xml:space="preserve">
Not currently wired to Customer FCF, but will be when we switch to PPA</t>
        </r>
      </text>
    </comment>
    <comment ref="A86" authorId="0" shapeId="0">
      <text>
        <r>
          <rPr>
            <b/>
            <sz val="9"/>
            <color indexed="81"/>
            <rFont val="Tahoma"/>
            <family val="2"/>
          </rPr>
          <t>Ben Rogers:</t>
        </r>
        <r>
          <rPr>
            <sz val="9"/>
            <color indexed="81"/>
            <rFont val="Tahoma"/>
            <family val="2"/>
          </rPr>
          <t xml:space="preserve">
Payment necessary to make Equity Investor IRR at time of buyout equal to IRR at end of year 15</t>
        </r>
      </text>
    </comment>
  </commentList>
</comments>
</file>

<file path=xl/comments4.xml><?xml version="1.0" encoding="utf-8"?>
<comments xmlns="http://schemas.openxmlformats.org/spreadsheetml/2006/main">
  <authors>
    <author>Javier Mozo</author>
  </authors>
  <commentList>
    <comment ref="G9" authorId="0" shapeId="0">
      <text>
        <r>
          <rPr>
            <b/>
            <sz val="9"/>
            <color indexed="81"/>
            <rFont val="Arial"/>
            <family val="2"/>
          </rPr>
          <t>Javier Mozo:</t>
        </r>
        <r>
          <rPr>
            <sz val="9"/>
            <color indexed="81"/>
            <rFont val="Arial"/>
            <family val="2"/>
          </rPr>
          <t xml:space="preserve">
Guaranteed Production</t>
        </r>
      </text>
    </comment>
  </commentList>
</comments>
</file>

<file path=xl/comments5.xml><?xml version="1.0" encoding="utf-8"?>
<comments xmlns="http://schemas.openxmlformats.org/spreadsheetml/2006/main">
  <authors>
    <author>Ben Rogers</author>
  </authors>
  <commentList>
    <comment ref="M2" authorId="0" shapeId="0">
      <text>
        <r>
          <rPr>
            <b/>
            <sz val="9"/>
            <color indexed="81"/>
            <rFont val="Tahoma"/>
            <family val="2"/>
          </rPr>
          <t>Ben Rogers:</t>
        </r>
        <r>
          <rPr>
            <sz val="9"/>
            <color indexed="81"/>
            <rFont val="Tahoma"/>
            <family val="2"/>
          </rPr>
          <t xml:space="preserve">
=IFERROR(VLOOKUP(A2,PV_Module_List!$A$5:$G$20265,7,FALSE),"NaN")</t>
        </r>
      </text>
    </comment>
    <comment ref="M32" authorId="0" shapeId="0">
      <text>
        <r>
          <rPr>
            <b/>
            <sz val="9"/>
            <color indexed="81"/>
            <rFont val="Tahoma"/>
            <family val="2"/>
          </rPr>
          <t>Ben Rogers:</t>
        </r>
        <r>
          <rPr>
            <sz val="9"/>
            <color indexed="81"/>
            <rFont val="Tahoma"/>
            <family val="2"/>
          </rPr>
          <t xml:space="preserve">
=IFERROR(VLOOKUP(A26,Inverter_List!$A$5:$G$20265,7,FALSE)/100,"NaN")</t>
        </r>
      </text>
    </comment>
  </commentList>
</comments>
</file>

<file path=xl/comments6.xml><?xml version="1.0" encoding="utf-8"?>
<comments xmlns="http://schemas.openxmlformats.org/spreadsheetml/2006/main">
  <authors>
    <author>Ben Rogers</author>
  </authors>
  <commentList>
    <comment ref="B9" authorId="0" shapeId="0">
      <text>
        <r>
          <rPr>
            <sz val="9"/>
            <color indexed="81"/>
            <rFont val="Tahoma"/>
            <family val="2"/>
          </rPr>
          <t>For Tarifa 1, there is no separate rate schedule for "de verano" and "fuera de verano", but structuring it like this to make uniform with other Tarifa 1 rate categories for Savings formula logic</t>
        </r>
      </text>
    </comment>
  </commentList>
</comments>
</file>

<file path=xl/sharedStrings.xml><?xml version="1.0" encoding="utf-8"?>
<sst xmlns="http://schemas.openxmlformats.org/spreadsheetml/2006/main" count="6497" uniqueCount="1181">
  <si>
    <t>System Size</t>
  </si>
  <si>
    <t>USD</t>
  </si>
  <si>
    <t>PV Panels</t>
  </si>
  <si>
    <t>Inverters</t>
  </si>
  <si>
    <t>Optimizer</t>
  </si>
  <si>
    <t>Consumption Monitoring</t>
  </si>
  <si>
    <t>Labor</t>
  </si>
  <si>
    <t>BOS-electrical</t>
  </si>
  <si>
    <t>BOS-mechanical</t>
  </si>
  <si>
    <t>Installer Total Price</t>
  </si>
  <si>
    <t>Overall</t>
  </si>
  <si>
    <t>Performance Guarantee</t>
  </si>
  <si>
    <t>FUND PRICE</t>
  </si>
  <si>
    <t>DAP</t>
  </si>
  <si>
    <t>IVA</t>
  </si>
  <si>
    <t>CFE Annual Increase</t>
  </si>
  <si>
    <t>CFE Bill</t>
  </si>
  <si>
    <t>%</t>
  </si>
  <si>
    <t>Year</t>
  </si>
  <si>
    <t>Inputs</t>
  </si>
  <si>
    <t>First Name</t>
  </si>
  <si>
    <t>Last Name</t>
  </si>
  <si>
    <t>Address</t>
  </si>
  <si>
    <t>City</t>
  </si>
  <si>
    <t>State</t>
  </si>
  <si>
    <t>Zip Code</t>
  </si>
  <si>
    <t>Total</t>
  </si>
  <si>
    <t>Savings from CFE</t>
  </si>
  <si>
    <t>Initial Payment</t>
  </si>
  <si>
    <t>Included</t>
  </si>
  <si>
    <t>Annual Payment Increase</t>
  </si>
  <si>
    <t>Term (years)</t>
  </si>
  <si>
    <t>Long term for immediate savings</t>
  </si>
  <si>
    <t>Totals</t>
  </si>
  <si>
    <t>Remote Monitoring</t>
  </si>
  <si>
    <t># Panels</t>
  </si>
  <si>
    <t>Repair Service</t>
  </si>
  <si>
    <t>Before Solar</t>
  </si>
  <si>
    <t>After Solar</t>
  </si>
  <si>
    <t xml:space="preserve">            ----</t>
  </si>
  <si>
    <t>1A</t>
  </si>
  <si>
    <t>1B</t>
  </si>
  <si>
    <t>1C</t>
  </si>
  <si>
    <t>1D</t>
  </si>
  <si>
    <t>1E</t>
  </si>
  <si>
    <t>1F</t>
  </si>
  <si>
    <t>CARGOS POR</t>
  </si>
  <si>
    <t>REGION BAJA CALIFORNIA - CUOTAS MENSUALES EN VERANO</t>
  </si>
  <si>
    <t>Cargo fijo ($/mes)</t>
  </si>
  <si>
    <t>($/kWh)</t>
  </si>
  <si>
    <t>REGION BAJA CALIFORNIA - CUOTAS MENSUALES FUERA EN VERANO</t>
  </si>
  <si>
    <t xml:space="preserve">REGION CENTRAL </t>
  </si>
  <si>
    <t xml:space="preserve">REGION NOROESTE </t>
  </si>
  <si>
    <t>energía ($/kWh)</t>
  </si>
  <si>
    <t xml:space="preserve">REGION NORTE Y NORESTE </t>
  </si>
  <si>
    <t xml:space="preserve">REGION SUR Y PENINSULAR </t>
  </si>
  <si>
    <t>Tarifa 2</t>
  </si>
  <si>
    <t xml:space="preserve">Cargo por energía ($/kWh) </t>
  </si>
  <si>
    <t>Range</t>
  </si>
  <si>
    <t>1-50</t>
  </si>
  <si>
    <t>51 - 100</t>
  </si>
  <si>
    <t>Adic.</t>
  </si>
  <si>
    <t>Cargo fijo ($)</t>
  </si>
  <si>
    <t>Mensual</t>
  </si>
  <si>
    <t>Central</t>
  </si>
  <si>
    <t>Unit Price</t>
  </si>
  <si>
    <t># Units</t>
  </si>
  <si>
    <t>SubTotal</t>
  </si>
  <si>
    <t>Inflation Rate</t>
  </si>
  <si>
    <t>Financing Escalator</t>
  </si>
  <si>
    <t>Wp rating</t>
  </si>
  <si>
    <t>$/Wp</t>
  </si>
  <si>
    <t>Supplier</t>
  </si>
  <si>
    <t>Notes</t>
  </si>
  <si>
    <t>PV Solar Modules</t>
  </si>
  <si>
    <t>Model</t>
  </si>
  <si>
    <t>Trina</t>
  </si>
  <si>
    <t>Exel</t>
  </si>
  <si>
    <t>320Wp poly</t>
  </si>
  <si>
    <t>CSI</t>
  </si>
  <si>
    <t>DM Solar</t>
  </si>
  <si>
    <t>EXW: GDL, MTY, DF</t>
  </si>
  <si>
    <t>GSL</t>
  </si>
  <si>
    <t>ET Solar</t>
  </si>
  <si>
    <t>Recom</t>
  </si>
  <si>
    <t>Jinko</t>
  </si>
  <si>
    <t>JA Solar</t>
  </si>
  <si>
    <t>SunPreme</t>
  </si>
  <si>
    <t>Tigo</t>
  </si>
  <si>
    <t>TS4-D</t>
  </si>
  <si>
    <t>EXW: MER, GDL, MTY, DF</t>
  </si>
  <si>
    <t>TS4-M</t>
  </si>
  <si>
    <t>Monitoring</t>
  </si>
  <si>
    <t>TS4-S</t>
  </si>
  <si>
    <t>Safety - shut off</t>
  </si>
  <si>
    <t>TS4-O</t>
  </si>
  <si>
    <t>Optimize - shading</t>
  </si>
  <si>
    <t>TS4-L</t>
  </si>
  <si>
    <t>Long strings</t>
  </si>
  <si>
    <t>Enphase</t>
  </si>
  <si>
    <t>TIGO</t>
  </si>
  <si>
    <t>CCA-PS-INT</t>
  </si>
  <si>
    <t>Cloud connect - interior</t>
  </si>
  <si>
    <t>CCAK-IGDIN</t>
  </si>
  <si>
    <t>Cloud connect - interior DIN</t>
  </si>
  <si>
    <t>CCA-DINOUT</t>
  </si>
  <si>
    <t>Cloud connect - exterior DIN</t>
  </si>
  <si>
    <t>GTWY-WCOMM</t>
  </si>
  <si>
    <t>Wireless gateway</t>
  </si>
  <si>
    <t>ENV-120 M</t>
  </si>
  <si>
    <t>WF-01</t>
  </si>
  <si>
    <t>System Monitoring</t>
  </si>
  <si>
    <t>Region</t>
  </si>
  <si>
    <t xml:space="preserve"> (ERdC - $189) Envoy monitoring portal</t>
  </si>
  <si>
    <t>DAC</t>
  </si>
  <si>
    <t>Installer Margin</t>
  </si>
  <si>
    <t>Installer Sales commission</t>
  </si>
  <si>
    <t>Pago inicial</t>
  </si>
  <si>
    <t>Incremento Anual</t>
  </si>
  <si>
    <t>Termino (Años)</t>
  </si>
  <si>
    <t>Termino a largo plazo ahorros inmediatos</t>
  </si>
  <si>
    <t>Incluido</t>
  </si>
  <si>
    <t>Servicio de Reparacion</t>
  </si>
  <si>
    <t>Garantia de Desempeño</t>
  </si>
  <si>
    <t xml:space="preserve">Antes </t>
  </si>
  <si>
    <t>Año</t>
  </si>
  <si>
    <t>Pago Inicial</t>
  </si>
  <si>
    <t>Ahorros vs CFE</t>
  </si>
  <si>
    <t>Recibo CFE</t>
  </si>
  <si>
    <t>Manufacturer</t>
  </si>
  <si>
    <t>Optimizers</t>
  </si>
  <si>
    <t>Component</t>
  </si>
  <si>
    <t>MXN/USD</t>
  </si>
  <si>
    <t>MXN</t>
  </si>
  <si>
    <t>System Specification</t>
  </si>
  <si>
    <r>
      <t>2</t>
    </r>
    <r>
      <rPr>
        <vertAlign val="superscript"/>
        <sz val="8"/>
        <rFont val="Verdana"/>
        <family val="2"/>
      </rPr>
      <t>nd</t>
    </r>
    <r>
      <rPr>
        <sz val="8"/>
        <rFont val="Verdana"/>
        <family val="2"/>
      </rPr>
      <t xml:space="preserve"> Last Name</t>
    </r>
  </si>
  <si>
    <t>Comm Accessories</t>
  </si>
  <si>
    <t>Wifi kit for Enphase</t>
  </si>
  <si>
    <t>Noroeste</t>
  </si>
  <si>
    <t>STC</t>
  </si>
  <si>
    <t>PTC</t>
  </si>
  <si>
    <t>Sun Hours</t>
  </si>
  <si>
    <t>Inverter Loss %</t>
  </si>
  <si>
    <t>Other Loss %</t>
  </si>
  <si>
    <t>CFE Total Bill (Year1)</t>
  </si>
  <si>
    <t>System Annual Degradation Rate</t>
  </si>
  <si>
    <t>Customer Usage</t>
  </si>
  <si>
    <t>Customer offset</t>
  </si>
  <si>
    <t>Cash Flow Retention %</t>
  </si>
  <si>
    <t>kWh</t>
  </si>
  <si>
    <t>MXN/kWh</t>
  </si>
  <si>
    <t>CFE Total Rate (MXN/kWh)</t>
  </si>
  <si>
    <t>Customer Usage (kWh/yr)</t>
  </si>
  <si>
    <t>per W</t>
  </si>
  <si>
    <t>CFE Fixed Cost per Bill (bi-mo) (MXN)</t>
  </si>
  <si>
    <t>CFE Rate per kWh (MXN)</t>
  </si>
  <si>
    <t>System Production (kWh/year)</t>
  </si>
  <si>
    <t>System Factor(kWh/kw)</t>
  </si>
  <si>
    <t>System Size (W)</t>
  </si>
  <si>
    <t>Ahorros $</t>
  </si>
  <si>
    <t>Corporate Tax Rate</t>
  </si>
  <si>
    <t>Outputs</t>
  </si>
  <si>
    <t>CFE Regions</t>
  </si>
  <si>
    <t>List Value</t>
  </si>
  <si>
    <t>CFE Value</t>
  </si>
  <si>
    <t>CFE Rates</t>
  </si>
  <si>
    <t>CFE Rate Category</t>
  </si>
  <si>
    <t>Customer Savings Actual (Year1)</t>
  </si>
  <si>
    <t>Equity Investor %</t>
  </si>
  <si>
    <t>E-Gauge</t>
  </si>
  <si>
    <t>Direct</t>
  </si>
  <si>
    <t>Home &amp; System Monitoring</t>
  </si>
  <si>
    <t>Performance Guarantee (Markup)</t>
  </si>
  <si>
    <t>Offset Pct</t>
  </si>
  <si>
    <t>Ahorros %</t>
  </si>
  <si>
    <t>TSM-270PA05A</t>
  </si>
  <si>
    <t>CS6P-270P</t>
  </si>
  <si>
    <t>CS6U-320P</t>
  </si>
  <si>
    <t>RCM-325-6PA</t>
  </si>
  <si>
    <t>SNPM-GxB-310 Bifacial</t>
  </si>
  <si>
    <t>Operating Expense (USD/kW)</t>
  </si>
  <si>
    <t>Operating Expense (MXN/Year)</t>
  </si>
  <si>
    <t>Equity Ownership (Equity Investor)</t>
  </si>
  <si>
    <t>Resumen Año 1</t>
  </si>
  <si>
    <t>GCL-P6-72-320</t>
  </si>
  <si>
    <t>GCL-P6-60-270</t>
  </si>
  <si>
    <t>Trina Solar</t>
  </si>
  <si>
    <t>Customer Residual</t>
  </si>
  <si>
    <t>original-&gt;</t>
  </si>
  <si>
    <t>Pre-IVA Cost from Installer</t>
  </si>
  <si>
    <t>IVA to Installer</t>
  </si>
  <si>
    <t>Total Cost from Installer</t>
  </si>
  <si>
    <t>http://app.cfe.gob.mx/Aplicaciones/CCFE/Tarifas/Tarifas/Tarifas_industria.asp?Tarifa=CMABT&amp;Anio=2017</t>
  </si>
  <si>
    <t>http://app.cfe.gob.mx/Aplicaciones/CCFE/Tarifas/Tarifas/tarifas_casa.asp</t>
  </si>
  <si>
    <t>Lease Term</t>
  </si>
  <si>
    <t>Customer Initial Payment (MXN)</t>
  </si>
  <si>
    <t>Labor (MXN/W)</t>
  </si>
  <si>
    <t>BOS-Electrical (MXN/W)</t>
  </si>
  <si>
    <t>BOS-Mechanical (MXN/W)</t>
  </si>
  <si>
    <t>Lease Term (Years)</t>
  </si>
  <si>
    <t>Savings</t>
  </si>
  <si>
    <t>Year 1 Summary</t>
  </si>
  <si>
    <t>Ahorros</t>
  </si>
  <si>
    <t>Equity Investor Required IRR %</t>
  </si>
  <si>
    <t>CFE Rate (PreTax)</t>
  </si>
  <si>
    <t>CFE Usage (PreTax)</t>
  </si>
  <si>
    <t>CFE Cargo Fijo</t>
  </si>
  <si>
    <t>CFE DAP</t>
  </si>
  <si>
    <t>CFE IVA</t>
  </si>
  <si>
    <t>Degrad rate</t>
  </si>
  <si>
    <t>CFE Bill (PreTax)</t>
  </si>
  <si>
    <t>Solar System</t>
  </si>
  <si>
    <t>Solar System Production</t>
  </si>
  <si>
    <t>Savings ($)</t>
  </si>
  <si>
    <t>Savings (%)</t>
  </si>
  <si>
    <t>CFE Service Number</t>
  </si>
  <si>
    <t>Comm Accessory</t>
  </si>
  <si>
    <t>Customer Usage Offset</t>
  </si>
  <si>
    <t>System Production (kWh/yr)</t>
  </si>
  <si>
    <t>Wp (DC)</t>
  </si>
  <si>
    <t>PTC (DC)</t>
  </si>
  <si>
    <t>sys size &gt;=</t>
  </si>
  <si>
    <t>sys size &lt;=</t>
  </si>
  <si>
    <t>Wac rating (AC)</t>
  </si>
  <si>
    <t>Min Wp (DC)</t>
  </si>
  <si>
    <t>Max Wp (DC)</t>
  </si>
  <si>
    <t>Factor</t>
  </si>
  <si>
    <t>Symo 10.0-3 208/240v</t>
  </si>
  <si>
    <t>Symo 12.0-3 208/240v</t>
  </si>
  <si>
    <t>Symo 15.0-3 208/240v</t>
  </si>
  <si>
    <t>Inversor TL + Comunicación Wifi + NEMA 4x + 2mppt + Interruptor DC</t>
  </si>
  <si>
    <t>WiFi + interruptor DC + AFCI + 2 MPPT</t>
  </si>
  <si>
    <t>WiFi + interruptor DC + AFCI + 1 MPPT</t>
  </si>
  <si>
    <t>Line Voltage</t>
  </si>
  <si>
    <t>240v</t>
  </si>
  <si>
    <t>Phases</t>
  </si>
  <si>
    <t>Savings Rate (Year 1)</t>
  </si>
  <si>
    <t>CFE Hilos (Phases)</t>
  </si>
  <si>
    <t>PTC/Wp</t>
  </si>
  <si>
    <t>CFE Limite para region</t>
  </si>
  <si>
    <t>CFE Limits</t>
  </si>
  <si>
    <t>CFE Rate Period</t>
  </si>
  <si>
    <t>RANGO DE CONSUMO</t>
  </si>
  <si>
    <t>Básico 1-75</t>
  </si>
  <si>
    <t>Intermedio 76-140</t>
  </si>
  <si>
    <t>Excedente</t>
  </si>
  <si>
    <t>Básico 1-100</t>
  </si>
  <si>
    <t>Intermedio 101-150</t>
  </si>
  <si>
    <t>Intermedio 76-150</t>
  </si>
  <si>
    <t>Básico 1-125</t>
  </si>
  <si>
    <t>Intermedio 126-225</t>
  </si>
  <si>
    <t>Intermedio 76-175</t>
  </si>
  <si>
    <t>Básico 1-150</t>
  </si>
  <si>
    <t>Intermedio bajo 151-300</t>
  </si>
  <si>
    <t>Intermedio alto 301-450</t>
  </si>
  <si>
    <t>Básico 1-175</t>
  </si>
  <si>
    <t>Intermedio bajo 176-400</t>
  </si>
  <si>
    <t>Intermedio alto 401-600</t>
  </si>
  <si>
    <t>Intermedio 76-200</t>
  </si>
  <si>
    <t>Básico 1-300</t>
  </si>
  <si>
    <t>Intermedio bajo 301-750</t>
  </si>
  <si>
    <t>Intermedio alto 751-900</t>
  </si>
  <si>
    <t>Intermedio 301-1,200</t>
  </si>
  <si>
    <t>Recent History</t>
  </si>
  <si>
    <t>Intermedio alto 1,201-2,500</t>
  </si>
  <si>
    <t>Bsico 1-75</t>
  </si>
  <si>
    <t>1st Bucket</t>
  </si>
  <si>
    <t>2nd Bucket</t>
  </si>
  <si>
    <t>3rd Bucket</t>
  </si>
  <si>
    <t>Tarifa 1A - TEMPORADA DE VERANO</t>
  </si>
  <si>
    <t>Tarifa 1A - TEMPORADA FUERA DE VERANO</t>
  </si>
  <si>
    <t>Tarifa 1E - TEMPORADA DE VERANO</t>
  </si>
  <si>
    <t>Tarifa 1D - TEMPORADA DE VERANO</t>
  </si>
  <si>
    <t>Tarifa 1F - TEMPORADA DE VERANO</t>
  </si>
  <si>
    <t>Tarifa 1C - TEMPORADA DE VERANO</t>
  </si>
  <si>
    <t>Tarifa 1B - TEMPORADA DE VERANO</t>
  </si>
  <si>
    <t>Tarifa 1F - TEMPORADA FUERA DE VERANO</t>
  </si>
  <si>
    <t>Tarifa 1E - TEMPORADA FUERA DE VERANO</t>
  </si>
  <si>
    <t>Tarifa 1D - TEMPORADA FUERA DE VERANO</t>
  </si>
  <si>
    <t>Tarifa 1C - TEMPORADA FUERA DE VERANO</t>
  </si>
  <si>
    <t>Tarifa 1B - TEMPORADA FUERA DE VERANO</t>
  </si>
  <si>
    <t>Limit</t>
  </si>
  <si>
    <t>Rate</t>
  </si>
  <si>
    <t>Blended</t>
  </si>
  <si>
    <t>Avg (Verano, 
Invierno)</t>
  </si>
  <si>
    <t>For CFE Rate (PreTax) After Solar, Beginning in Year 2</t>
  </si>
  <si>
    <t>Tarifa 1 - TEMPORADA FUERA DE VERANO</t>
  </si>
  <si>
    <t>Tarifa 1 - TEMPORADA DE VERANO</t>
  </si>
  <si>
    <t>Initial Cash Flows</t>
  </si>
  <si>
    <t>After-Tax</t>
  </si>
  <si>
    <t>Before-Tax</t>
  </si>
  <si>
    <t>SolCity MX Cost (paid to Installer)</t>
  </si>
  <si>
    <t>SolCity MX Net</t>
  </si>
  <si>
    <t>SolCity MX Margin</t>
  </si>
  <si>
    <t>Depreciation Based on Equity Investor % Equity</t>
  </si>
  <si>
    <t>Fund Cash Flows (Annual)</t>
  </si>
  <si>
    <t>Customer FCF</t>
  </si>
  <si>
    <t>Net Cash Flow</t>
  </si>
  <si>
    <t>Investor Cash Flows (Monthly)</t>
  </si>
  <si>
    <t>Month</t>
  </si>
  <si>
    <t>Date</t>
  </si>
  <si>
    <t>Equity Investor FCF</t>
  </si>
  <si>
    <t>Equity Investor ROI</t>
  </si>
  <si>
    <t>Buyout Price</t>
  </si>
  <si>
    <t>Buyout Price (% of Fund Price)</t>
  </si>
  <si>
    <t>Tarifa2</t>
  </si>
  <si>
    <t>Effective</t>
  </si>
  <si>
    <t>Customer Inputs</t>
  </si>
  <si>
    <t>Nameplate</t>
  </si>
  <si>
    <t>Choose your term and savings</t>
  </si>
  <si>
    <t>Escoge tu plazo y ahorros</t>
  </si>
  <si>
    <t>Autorización para solicitar Reportes de Crédito</t>
  </si>
  <si>
    <t>Formato Único</t>
  </si>
  <si>
    <t xml:space="preserve">Por este conducto autorizo expresamente a Solcity Distribución Mexico SAPI de CV.  para que por conducto de sus funcionarios facultados lleve a cabo Investigaciones, sobre mi comportamiento crediticio o el de la Empresa que represento en Circulo de Credito SA de CV.                                                                                       </t>
  </si>
  <si>
    <t xml:space="preserve">Así mismo, declaro que conozco la naturaleza y alcance de la información que se solicitará, del uso que Solcity Distribución Mexico SAPI de CV, hará de tal información y de que ésta podrá realizar consultas periódicas sobre mi historial o el de la empresa que represento, consintiendo que esta autorización se encuentre vigente por un período de tres (3) años contados a partir de sus expedición y en todo caso durante el tiempo que se mantenga la relación jurídica. </t>
  </si>
  <si>
    <t>En caso de que la solicitante sea una Persona Moral,  declaro bajo protesta de decir verdad Ser Representante Legal de la empresa mencionada en esta autorización.</t>
  </si>
  <si>
    <t xml:space="preserve">Autorización para: </t>
  </si>
  <si>
    <t>Persona Física</t>
  </si>
  <si>
    <t>Persona Física con            Actividad Empresarial</t>
  </si>
  <si>
    <t>Nombre del solicitante (Persona Física o Razón Social de la Persona Moral):</t>
  </si>
  <si>
    <t>Para el caso de Persona Moral, nombre del Representante Legal:</t>
  </si>
  <si>
    <t>Fecha (en que se autoriza la consulta):</t>
  </si>
  <si>
    <t xml:space="preserve">RFC: </t>
  </si>
  <si>
    <t>Calle y número:</t>
  </si>
  <si>
    <t>Colonia:</t>
  </si>
  <si>
    <t xml:space="preserve">Ciudad: </t>
  </si>
  <si>
    <t xml:space="preserve">Estado: </t>
  </si>
  <si>
    <t xml:space="preserve">Código Postal: </t>
  </si>
  <si>
    <t xml:space="preserve">Teléfono (s) de casa y/o oficina: </t>
  </si>
  <si>
    <t>Estoy consciente y acepto que este documento quede bajo propiedad de Solcity Distribución Mexico SAPI de CV y/o Sociedad de Información Crediticia consultada para efectos de control y cumplimiento del artículo 28 de la Ley para Regular a Las Sociedades de Información Crediticia; mismo que señala que las Sociedades sólo podrán proporcionar información a un Usuario, cuando éste cuente con la autorización expresa del Cliente mediante su firma autógrafa.</t>
  </si>
  <si>
    <t xml:space="preserve">Firma de la PF, PFAE, Representante Legal de la empresa. </t>
  </si>
  <si>
    <t>OBSERVACIONES PARA SER ATENDIDAS AL MOMENTO DE REQUISITAR EL FORMATO:</t>
  </si>
  <si>
    <t>IMPORTANTE: Este formato debe ser llenado individualmente, para una sola persona física ó para una sola empresa. En caso de requerir el Historial crediticio del representante legal, se llenará un formato adicional.</t>
  </si>
  <si>
    <t>1.- Llenar este formato preferentemente en computadora y de no ser así, deberá ser con letra de molde y clara, evitando las abreviaturas. Utilizar letras mayúsculas.
2.- Anexar copia de identificación oficial (credencial del IFE o pasaporte vigente) del solicitante. FM2 en caso de extranjeros. 
3.- La firma en presente formato deberá ser idéntica a la que se encuentra en la identificación (si ha cambiado se recomienda practicarla previamente).
4.- El presente formato no se aceptará si no contine todos los datos requeridos o si tiene tachaduras, borrones y/o enmendaduras.
5.- Si el domicilio es diferente al registrado en la identificación, se recomienda verificar que el CP coincida con el municipio. Fuente: www.sepomex.gob.mx</t>
  </si>
  <si>
    <t>Clave de usuario (Member Code):</t>
  </si>
  <si>
    <t>Fecha de la consulta (dd-mm-aaaa):</t>
  </si>
  <si>
    <t>Folio de consulta (Obligatorio)</t>
  </si>
  <si>
    <t>Proposal Acceptance Signature</t>
  </si>
  <si>
    <t>Firma de Aceptacion de Propuesta</t>
  </si>
  <si>
    <t>Customer</t>
  </si>
  <si>
    <t>Field</t>
  </si>
  <si>
    <t>Value</t>
  </si>
  <si>
    <t>Note</t>
  </si>
  <si>
    <t>Lessee</t>
  </si>
  <si>
    <t>Customer's first &amp; last names (if Individual) or full company name (if Company)</t>
  </si>
  <si>
    <t>LesseeTelephone</t>
  </si>
  <si>
    <t>Customer's telephone number</t>
  </si>
  <si>
    <t>LesseeEmail</t>
  </si>
  <si>
    <t>Customer's email address</t>
  </si>
  <si>
    <t>PropertyAddress</t>
  </si>
  <si>
    <t>PropertyCity</t>
  </si>
  <si>
    <t>PropertyState</t>
  </si>
  <si>
    <t>PropertyZipCode</t>
  </si>
  <si>
    <t>CheckingAccountBank</t>
  </si>
  <si>
    <t>Customer's bank for auto-debit</t>
  </si>
  <si>
    <t>CheckingAccountNumber</t>
  </si>
  <si>
    <t>Customer's checking account number for auto-debit</t>
  </si>
  <si>
    <t>CreditCardType</t>
  </si>
  <si>
    <t>Visa</t>
  </si>
  <si>
    <t>Customer's credit card type, in the event of auto-debit failure</t>
  </si>
  <si>
    <t>CreditCardNumber</t>
  </si>
  <si>
    <t>Customer's credit card number</t>
  </si>
  <si>
    <t>CreditCardExpiry</t>
  </si>
  <si>
    <t>CreditCardSecurityCode</t>
  </si>
  <si>
    <t>Customer's credit card security code</t>
  </si>
  <si>
    <t>TermYears</t>
  </si>
  <si>
    <t>GuaranteedProductionYear1</t>
  </si>
  <si>
    <t>Guaranteed production of system in first year (kWh)</t>
  </si>
  <si>
    <t>InitialPaymentMXN</t>
  </si>
  <si>
    <t>MonthlyPaymentYear1</t>
  </si>
  <si>
    <t>FinanceEscalator</t>
  </si>
  <si>
    <t>Customer (if Individual)</t>
  </si>
  <si>
    <t>Ind_Nationality</t>
  </si>
  <si>
    <t>Nationality</t>
  </si>
  <si>
    <t>Ind_IdNo</t>
  </si>
  <si>
    <t>Government identification number</t>
  </si>
  <si>
    <t>Customer (if Company)</t>
  </si>
  <si>
    <t>Co_DeedNo</t>
  </si>
  <si>
    <t>Public deed number</t>
  </si>
  <si>
    <t>Co_DeedDated</t>
  </si>
  <si>
    <t>Co_DeedNotaryNo</t>
  </si>
  <si>
    <t>Notary number, before which public deed was granted</t>
  </si>
  <si>
    <t>Co_DeedNotaryLoc</t>
  </si>
  <si>
    <t>Notary location</t>
  </si>
  <si>
    <t>Co_DeedNotaryName</t>
  </si>
  <si>
    <t>Notary name</t>
  </si>
  <si>
    <t>Co_DeedRegistryLoc</t>
  </si>
  <si>
    <t>Co_DeedFolioNo</t>
  </si>
  <si>
    <t>Notary Commercial Folio number</t>
  </si>
  <si>
    <t>Co_Rep</t>
  </si>
  <si>
    <t>Full name of individual representative of Company</t>
  </si>
  <si>
    <t>Co_Rep_DeedNo</t>
  </si>
  <si>
    <t>Public deed number, which grants individual representative power of attorney</t>
  </si>
  <si>
    <t>Co_Rep_DeedDated</t>
  </si>
  <si>
    <t>Co_Rep_DeedNotaryNo</t>
  </si>
  <si>
    <t>Notary number, before which public deed was granted (for Representative)</t>
  </si>
  <si>
    <t>Co_Rep_DeedNotaryLoc</t>
  </si>
  <si>
    <t>Notary location (for Representative)</t>
  </si>
  <si>
    <t>Co_Rep_DeedNotaryName</t>
  </si>
  <si>
    <t>Notary name (for Representative)</t>
  </si>
  <si>
    <t>Co_Rep_DeedRegistryLoc</t>
  </si>
  <si>
    <t>Co_Rep_DeedFolioNo</t>
  </si>
  <si>
    <t>Notary Commercial Folio number (for Representative)</t>
  </si>
  <si>
    <t>Joint Obligor</t>
  </si>
  <si>
    <t>JointObligor</t>
  </si>
  <si>
    <t>Joint Obligor's first &amp; last names (if Individual) or full company name (if Company)</t>
  </si>
  <si>
    <t>JointObligorEmail</t>
  </si>
  <si>
    <t>Joint Obligor's email address</t>
  </si>
  <si>
    <t>Joint Obligor (if Individual)</t>
  </si>
  <si>
    <t>JO_Ind_Nationality</t>
  </si>
  <si>
    <t>JO_Ind_IdNo</t>
  </si>
  <si>
    <t>Joint Obligor (if Company)</t>
  </si>
  <si>
    <t>JO_Co_DeedNo</t>
  </si>
  <si>
    <t>JO_Co_DeedDated</t>
  </si>
  <si>
    <t>JO_Co_DeedNotaryNo</t>
  </si>
  <si>
    <t>JO_Co_DeedNotaryLoc</t>
  </si>
  <si>
    <t>JO_Co_DeedNotaryName</t>
  </si>
  <si>
    <t>JO_Co_DeedRegistryLoc</t>
  </si>
  <si>
    <t>JO_Co_DeedFolioNo</t>
  </si>
  <si>
    <t>JO_Co_Rep_DeedNo</t>
  </si>
  <si>
    <t>JO_Co_Rep_DeedDated</t>
  </si>
  <si>
    <t>JO_Co_Rep_DeedNotaryNo</t>
  </si>
  <si>
    <t>JO_Co_Rep_DeedNotaryLoc</t>
  </si>
  <si>
    <t>JO_Co_Rep_DeedNotaryName</t>
  </si>
  <si>
    <t>Checking Account Number</t>
  </si>
  <si>
    <t>Checking Account Bank</t>
  </si>
  <si>
    <t>Credit Card Type</t>
  </si>
  <si>
    <t>Credit Card Number</t>
  </si>
  <si>
    <t>Credit Card Expiry</t>
  </si>
  <si>
    <t>Credit Card Security Code</t>
  </si>
  <si>
    <t>Term Years</t>
  </si>
  <si>
    <t>Guaranteed Production (Year 1)</t>
  </si>
  <si>
    <t>SavingsRateYear1</t>
  </si>
  <si>
    <t>Monthly Payment (Year 1)</t>
  </si>
  <si>
    <t>Savings rate in first year (estimated)</t>
  </si>
  <si>
    <t>Annual Increase</t>
  </si>
  <si>
    <t>Company (if applicable)</t>
  </si>
  <si>
    <t>Individual's Nationality</t>
  </si>
  <si>
    <t>Company Deed Number</t>
  </si>
  <si>
    <t>Company Deed Dated</t>
  </si>
  <si>
    <t>Company Rep</t>
  </si>
  <si>
    <t>Company Deed Notary Location</t>
  </si>
  <si>
    <t>Company Deed Notary Name</t>
  </si>
  <si>
    <t>Company Deed Notary Registry Location</t>
  </si>
  <si>
    <t>Company Deed Notary Folio Number</t>
  </si>
  <si>
    <t>Company Deed Notary Number</t>
  </si>
  <si>
    <t>Joint Obligor Email</t>
  </si>
  <si>
    <t>Joint Obligor's Nationality</t>
  </si>
  <si>
    <t>JO_Co_Rep</t>
  </si>
  <si>
    <t>Joint Obligor Company Rep</t>
  </si>
  <si>
    <t>Joint Obligor Company Deed Number</t>
  </si>
  <si>
    <t>Joint Obligor Company Deed Dated</t>
  </si>
  <si>
    <t>Joint Obligor Company Deed Notary Number</t>
  </si>
  <si>
    <t>Joint Obligor Company Deed Notary Location</t>
  </si>
  <si>
    <t>Joint Obligor Company Deed Notary Name</t>
  </si>
  <si>
    <t>Joint Obligor Company Deed Notary Registry Location</t>
  </si>
  <si>
    <t>Joint Obligor Company Deed Notary Folio Number</t>
  </si>
  <si>
    <t>Mnemonic</t>
  </si>
  <si>
    <t>To be completed after Customer agrees to Proposal, before sending this file to MySOL.  Cells filled in Grey or Blue should be completed.</t>
  </si>
  <si>
    <t>Customize Your MySOL Plan</t>
  </si>
  <si>
    <t>Before MySOL</t>
  </si>
  <si>
    <t>After MySOL</t>
  </si>
  <si>
    <t>MySOL Bill</t>
  </si>
  <si>
    <t>MySOL Bill (PreTax)</t>
  </si>
  <si>
    <t>MySOL IVA</t>
  </si>
  <si>
    <t>CFE + MySOL Bill</t>
  </si>
  <si>
    <t>CFE + MySOL</t>
  </si>
  <si>
    <t>MySOL</t>
  </si>
  <si>
    <t>Recibo CFE + MySOL</t>
  </si>
  <si>
    <t>MySOL Margin</t>
  </si>
  <si>
    <t>Pre-IVA Cost from MySOL</t>
  </si>
  <si>
    <t>IVA to MySOL</t>
  </si>
  <si>
    <t>Total Cost from MySOL</t>
  </si>
  <si>
    <t>SolCity MX Price (rec'd from MySOL/Fund)</t>
  </si>
  <si>
    <t>MySOL Equity</t>
  </si>
  <si>
    <t>MySOL % of Initial Customer Payment</t>
  </si>
  <si>
    <t>MySOL/SolCity MX Net</t>
  </si>
  <si>
    <t>Depreciation Based on MySOL % Equity</t>
  </si>
  <si>
    <t>Personaliza tu Plan MySOL</t>
  </si>
  <si>
    <t>Ahora con MySOL</t>
  </si>
  <si>
    <t>Recibo MySOL</t>
  </si>
  <si>
    <t>MySOL Total Rate (MXN/kWh)</t>
  </si>
  <si>
    <t>MySOL Total Bill (Year1)</t>
  </si>
  <si>
    <t>MySOL Pre-EqInv Margin (MXN)</t>
  </si>
  <si>
    <t>MySOL Pre-EqInv Margin (%)</t>
  </si>
  <si>
    <t>MySOL Post-EqInv Margin (MXN)</t>
  </si>
  <si>
    <t>MySOL Post-EqInv Margin (%)</t>
  </si>
  <si>
    <t>Equity Retained by MySOL %</t>
  </si>
  <si>
    <t>Equity Ownership (MySOL)</t>
  </si>
  <si>
    <t>MySOL Operating Costs Expected</t>
  </si>
  <si>
    <t>Proposal Chart Labels</t>
  </si>
  <si>
    <t>Monthly payments to MySOL during the first year of term</t>
  </si>
  <si>
    <t>Customer initial payment</t>
  </si>
  <si>
    <t>Customer's street address (should match CFE bill)</t>
  </si>
  <si>
    <t>Customer's city (should match CFE bill)</t>
  </si>
  <si>
    <t>Customer's state (should match CFE bill)</t>
  </si>
  <si>
    <t>Customer's zip code (should match CFE bill)</t>
  </si>
  <si>
    <t>Term length (Years)</t>
  </si>
  <si>
    <t>Annual increase in monthly payment amount to MySOL</t>
  </si>
  <si>
    <t>MySOL Markup</t>
  </si>
  <si>
    <t>Monthly Payments to MySOL</t>
  </si>
  <si>
    <t>MySOL saves you money on your utility bill</t>
  </si>
  <si>
    <t>Pagos Mensuales a MySOL</t>
  </si>
  <si>
    <t>Con MySOL ahorras en tu recibo de luz</t>
  </si>
  <si>
    <t>Public Registry location</t>
  </si>
  <si>
    <t>Public Registry location (for Representative)</t>
  </si>
  <si>
    <t>Company Rep Deed Number</t>
  </si>
  <si>
    <t>Company Rep Deed Dated</t>
  </si>
  <si>
    <t>Company Rep Deed Notary Number</t>
  </si>
  <si>
    <t>Company Rep Deed Notary Location</t>
  </si>
  <si>
    <t>Company Rep Deed Notary Name</t>
  </si>
  <si>
    <t>Company Rep Deed Notary Registry Location</t>
  </si>
  <si>
    <t>Company Rep Deed Notary Folio Number</t>
  </si>
  <si>
    <t>Joint Obligor Company Rep Deed Number</t>
  </si>
  <si>
    <t>Joint Obligor Company Rep Deed Dated</t>
  </si>
  <si>
    <t>Joint Obligor Company Rep Deed Notary Number</t>
  </si>
  <si>
    <t>Joint Obligor Company Rep Deed Notary Location</t>
  </si>
  <si>
    <t>Joint Obligor Company Rep Deed Notary Name</t>
  </si>
  <si>
    <t>Customer's credit card expiration (mm/yyyy)</t>
  </si>
  <si>
    <t>Public deed dated (dd/mm/yyyy)</t>
  </si>
  <si>
    <t>Public deed dated, which grants individual representative power of attorney (dd/mm/yyyy)</t>
  </si>
  <si>
    <t>Deed Number</t>
  </si>
  <si>
    <t>Deed Dated</t>
  </si>
  <si>
    <t>Deed Notary Number</t>
  </si>
  <si>
    <t>Deed Notary Location</t>
  </si>
  <si>
    <t>Deed Notary Name</t>
  </si>
  <si>
    <t>Deed Notary Registry Location</t>
  </si>
  <si>
    <t>Deed Notary Folio Number</t>
  </si>
  <si>
    <t>Representative Deed Number</t>
  </si>
  <si>
    <t>Representative Deed Dated</t>
  </si>
  <si>
    <t>Representative Deed Notary Number</t>
  </si>
  <si>
    <t>Representative Deed Notary Location</t>
  </si>
  <si>
    <t>Representative Deed Notary Name</t>
  </si>
  <si>
    <t>Representative</t>
  </si>
  <si>
    <t>Joint Obligor's Identification Number</t>
  </si>
  <si>
    <t>Identification Number</t>
  </si>
  <si>
    <t>Questionnaire for Additional Information</t>
  </si>
  <si>
    <t>If Customer is Company:</t>
  </si>
  <si>
    <t>If Customer is Individual:</t>
  </si>
  <si>
    <t>If there is a Joint Obligor</t>
  </si>
  <si>
    <t>If Joint Obligor is Individual:</t>
  </si>
  <si>
    <t>If Joint Obligor is Company:</t>
  </si>
  <si>
    <t>Cuestionario para información adicional</t>
  </si>
  <si>
    <t>Telefono</t>
  </si>
  <si>
    <t>Cliente (Persona Fisica)</t>
  </si>
  <si>
    <t>Direccion de Correo</t>
  </si>
  <si>
    <t>Nacionalidad</t>
  </si>
  <si>
    <t>Número de Identificación</t>
  </si>
  <si>
    <t>Numero de Escritura</t>
  </si>
  <si>
    <t>Fecha de Escritura</t>
  </si>
  <si>
    <t>Numero de Notaria</t>
  </si>
  <si>
    <t>Localidad de la Notaria</t>
  </si>
  <si>
    <t>Nombre del Notario</t>
  </si>
  <si>
    <t>Localidad de Registro Publico</t>
  </si>
  <si>
    <t>Folio de Registro Publico</t>
  </si>
  <si>
    <t>Representante Legal</t>
  </si>
  <si>
    <t>Numero de Escritua de Poderes del Representante Legal</t>
  </si>
  <si>
    <t>Numero de Notaria de Escritura de Poderes</t>
  </si>
  <si>
    <t>Localidad de Registro Publico de Escritura de Poderes</t>
  </si>
  <si>
    <t>Nombre de Notario en Escritura de Poderes</t>
  </si>
  <si>
    <t>Obligado Solidario</t>
  </si>
  <si>
    <t>Si Hay un Obligado Solidario</t>
  </si>
  <si>
    <t>Cliente (Persona Moral)</t>
  </si>
  <si>
    <t>Obligado Solidario (Persona Fisica)</t>
  </si>
  <si>
    <t>Obligado Solidario (Persona Moral)</t>
  </si>
  <si>
    <t>Fecha de Escritura de Poderes del Representante Legal</t>
  </si>
  <si>
    <t>Localidad de la Notaria en Escritura de Poderes</t>
  </si>
  <si>
    <t>Folio de Registro Publico de Escritura de Poderes</t>
  </si>
  <si>
    <t>Telephone</t>
  </si>
  <si>
    <t>Email</t>
  </si>
  <si>
    <t>Individual's Identification Number</t>
  </si>
  <si>
    <t>Monitoreo Remoto 24 horas al dia</t>
  </si>
  <si>
    <t>RATE</t>
  </si>
  <si>
    <t>Tarifa 1</t>
  </si>
  <si>
    <t>LIMIT(kWh/month)</t>
  </si>
  <si>
    <t>LIMIT(kWh/year)</t>
  </si>
  <si>
    <t>Tarifa 1 Limits</t>
  </si>
  <si>
    <t>TSM-PD14 330</t>
  </si>
  <si>
    <t>CSK-P 275Wp</t>
  </si>
  <si>
    <t>GCL P6/270</t>
  </si>
  <si>
    <t>GCL P6/320</t>
  </si>
  <si>
    <t>JKM270PP</t>
  </si>
  <si>
    <t>JKM320PP</t>
  </si>
  <si>
    <t>JKM325PP</t>
  </si>
  <si>
    <t>Container 40' DDP</t>
  </si>
  <si>
    <t>TSM-PA08A 275</t>
  </si>
  <si>
    <t>TSM-DD05A.08(II) 285</t>
  </si>
  <si>
    <t>TSM-DD14A(II) 340</t>
  </si>
  <si>
    <t>PTC/STC</t>
  </si>
  <si>
    <t>Cell</t>
  </si>
  <si>
    <t>Poly</t>
  </si>
  <si>
    <t>Mono</t>
  </si>
  <si>
    <t>Choose Variable</t>
  </si>
  <si>
    <t>Components (MXN/W)</t>
  </si>
  <si>
    <t>Fund ROI</t>
  </si>
  <si>
    <t>after EGuage</t>
  </si>
  <si>
    <t>EGuage Paid Upfront</t>
  </si>
  <si>
    <t>O&amp;M Paid Upfront</t>
  </si>
  <si>
    <t>O&amp;M Remainder to add to Final Payment</t>
  </si>
  <si>
    <t>Solar Provider Partner (SPP)</t>
  </si>
  <si>
    <t>Price to SPP with IVA (MXN/W)</t>
  </si>
  <si>
    <t>if Initial Payment &gt; 0, then funds go first to Eguage</t>
  </si>
  <si>
    <t>if Initial Payment insufficient then remainder covered in equal monthly payments during Year 2</t>
  </si>
  <si>
    <t>EGuage Remainder to add to Year 2</t>
  </si>
  <si>
    <t>EGuage Pymt (Customer to MySOL in Yr2, if need)</t>
  </si>
  <si>
    <t>this is the net amount that gets distributed to equity investors commensurate with their % ownership</t>
  </si>
  <si>
    <t>if Initial Payment insufficient then remainder added to Final Payment</t>
  </si>
  <si>
    <t>if Lease Term is less than 15 years, then Customer pays upfront (if funds available), otherwise at end of Term</t>
  </si>
  <si>
    <t>Customer Initial Payment (Gross)</t>
  </si>
  <si>
    <t>Customer Initial Payment (Net to Fund)</t>
  </si>
  <si>
    <t>SPP Markup</t>
  </si>
  <si>
    <t>SPP Sales Comm (Markup)</t>
  </si>
  <si>
    <t>Tigo_TS4-D</t>
  </si>
  <si>
    <t>PV Panel Default</t>
  </si>
  <si>
    <t>Ags.</t>
  </si>
  <si>
    <t>Aguascalientes</t>
  </si>
  <si>
    <t>B.C.</t>
  </si>
  <si>
    <t>Baja California</t>
  </si>
  <si>
    <t>B.C.S.</t>
  </si>
  <si>
    <t>Baja California Sur</t>
  </si>
  <si>
    <t>Camp.</t>
  </si>
  <si>
    <t>Campeche</t>
  </si>
  <si>
    <t>Chis.</t>
  </si>
  <si>
    <t>Chiapas</t>
  </si>
  <si>
    <t>Chih.</t>
  </si>
  <si>
    <t>Chihuahua</t>
  </si>
  <si>
    <t>Coah.</t>
  </si>
  <si>
    <t>Coahuila</t>
  </si>
  <si>
    <t>Col.</t>
  </si>
  <si>
    <t>Colima</t>
  </si>
  <si>
    <t>CDMX</t>
  </si>
  <si>
    <t>Mexico City</t>
  </si>
  <si>
    <t>Dgo.</t>
  </si>
  <si>
    <t>Durango</t>
  </si>
  <si>
    <t>Gto.</t>
  </si>
  <si>
    <t>Guanajuato</t>
  </si>
  <si>
    <t>Gro.</t>
  </si>
  <si>
    <t>Guerrero</t>
  </si>
  <si>
    <t>Hgo.</t>
  </si>
  <si>
    <t>Hidalgo</t>
  </si>
  <si>
    <t>Jal.</t>
  </si>
  <si>
    <t>Jalisco</t>
  </si>
  <si>
    <t>Edomex.</t>
  </si>
  <si>
    <t>México</t>
  </si>
  <si>
    <t>Mich.</t>
  </si>
  <si>
    <t>Michoacán</t>
  </si>
  <si>
    <t>Mor.</t>
  </si>
  <si>
    <t>Morelos</t>
  </si>
  <si>
    <t>Nay.</t>
  </si>
  <si>
    <t>Nayarit</t>
  </si>
  <si>
    <t>N.L.</t>
  </si>
  <si>
    <t>Nuevo León</t>
  </si>
  <si>
    <t>Oax.</t>
  </si>
  <si>
    <t>Oaxaca</t>
  </si>
  <si>
    <t>Pue.</t>
  </si>
  <si>
    <t>Puebla</t>
  </si>
  <si>
    <t>Qro.</t>
  </si>
  <si>
    <t>Querétaro</t>
  </si>
  <si>
    <t>Q.R.</t>
  </si>
  <si>
    <t>Quintana Roo</t>
  </si>
  <si>
    <t>S.L.P.</t>
  </si>
  <si>
    <t>San Luis Potosí</t>
  </si>
  <si>
    <t>Sin.</t>
  </si>
  <si>
    <t>Sinaloa</t>
  </si>
  <si>
    <t>Son.</t>
  </si>
  <si>
    <t>Sonora</t>
  </si>
  <si>
    <t>Tab.</t>
  </si>
  <si>
    <t>Tabasco</t>
  </si>
  <si>
    <t>Tamps.</t>
  </si>
  <si>
    <t>Tamaulipas</t>
  </si>
  <si>
    <t>Tlax.</t>
  </si>
  <si>
    <t>Tlaxcala</t>
  </si>
  <si>
    <t>Ver.</t>
  </si>
  <si>
    <t>Veracruz</t>
  </si>
  <si>
    <t>Yuc.</t>
  </si>
  <si>
    <t>Yucatán</t>
  </si>
  <si>
    <t>Zac.</t>
  </si>
  <si>
    <t>Zacatecas</t>
  </si>
  <si>
    <t>Abbreviation</t>
  </si>
  <si>
    <t>APS</t>
  </si>
  <si>
    <t>Micro Inversor APS YC500 Dual</t>
  </si>
  <si>
    <t>M250</t>
  </si>
  <si>
    <t>ABB</t>
  </si>
  <si>
    <t>UNO-2.0-I-OUTD-S-US</t>
  </si>
  <si>
    <t>UNO-2.5-I-OUTD-S-US</t>
  </si>
  <si>
    <t>PVI-3.0-OUTD-S-US</t>
  </si>
  <si>
    <t>PVI-3.6-OUTD-S-US</t>
  </si>
  <si>
    <t>PVI-3.8-OUTD-S-US</t>
  </si>
  <si>
    <t>PVI-4.2-OUTD-S-US</t>
  </si>
  <si>
    <t>PVI-5000-OUTD-S-US</t>
  </si>
  <si>
    <t>PVI-6000-OUTD-S-US</t>
  </si>
  <si>
    <t>Fronius</t>
  </si>
  <si>
    <t>Galvo 1.5</t>
  </si>
  <si>
    <t>Galvo 2.0</t>
  </si>
  <si>
    <t>Galvo 2.5</t>
  </si>
  <si>
    <t>Galvo 3.1</t>
  </si>
  <si>
    <t xml:space="preserve">Primo 3.8-1 </t>
  </si>
  <si>
    <t>Primo 5.0-1</t>
  </si>
  <si>
    <t>Primo 6.0-1</t>
  </si>
  <si>
    <t>Primo 7.6-1</t>
  </si>
  <si>
    <t>Primo 8.2-1</t>
  </si>
  <si>
    <t>Primo 10.0-1</t>
  </si>
  <si>
    <t>Primo 11.4-1</t>
  </si>
  <si>
    <t>Primo 12.5-1</t>
  </si>
  <si>
    <t>Primo 15.0-1</t>
  </si>
  <si>
    <t>Ingeteam</t>
  </si>
  <si>
    <t>Inge 1Play 2.5TLM-DCSW</t>
  </si>
  <si>
    <t>Inge 1Play 3TLM-DCSW</t>
  </si>
  <si>
    <t>Inge 1Play 3.3TLM-DCSW</t>
  </si>
  <si>
    <t>Inge 1Play 3.68 TLM-DCSW</t>
  </si>
  <si>
    <t>Inge 1Play 4.6TLM-DCSW</t>
  </si>
  <si>
    <t>Inge 1Play 5TLM-DCSW</t>
  </si>
  <si>
    <t>Inge 1Play 6TLM-DCSW</t>
  </si>
  <si>
    <t>KACO</t>
  </si>
  <si>
    <t>blueplanet 2.0 TL1 M2 WM OD US33</t>
  </si>
  <si>
    <t>blueplanet 3.0 TL1 M2 WM OD US33</t>
  </si>
  <si>
    <t>blueplanet 4.0 TL1 M2 WM OD US33</t>
  </si>
  <si>
    <t>blueplanet 5.0 TL1 M2 WM OD US33</t>
  </si>
  <si>
    <t>SMA</t>
  </si>
  <si>
    <t>Sunny Boy SB1.5</t>
  </si>
  <si>
    <t>Sunny Boy SB2.5</t>
  </si>
  <si>
    <t>SB3.0-1SP-US-40</t>
  </si>
  <si>
    <t>SB3.8-1SP-US-40</t>
  </si>
  <si>
    <t>SB5.0-1SP-US-40</t>
  </si>
  <si>
    <t>SB6.0-1SP-US-40</t>
  </si>
  <si>
    <t>SB7.0-1SP-US-40</t>
  </si>
  <si>
    <t>PVI-10.0-OUTD-S1-US 480-NG</t>
  </si>
  <si>
    <t>TRIO-20.0-TL-OUTD-S-US 480</t>
  </si>
  <si>
    <t>TRIO-27.6-TL-OUTD-S-US 480</t>
  </si>
  <si>
    <t>Symo 10.0-3 480v</t>
  </si>
  <si>
    <t>Symo 12.5-3 480v</t>
  </si>
  <si>
    <t>Symo 15.0-3 480v</t>
  </si>
  <si>
    <t>Symo 17.5-3 480v</t>
  </si>
  <si>
    <t>Symo 20.0-3 480v</t>
  </si>
  <si>
    <t>Symo 22.7-3 480v</t>
  </si>
  <si>
    <t>Symo 24.0-3 480v</t>
  </si>
  <si>
    <t>Sun 15 TL M (S)</t>
  </si>
  <si>
    <t>Sun 15 TL M (P+)</t>
  </si>
  <si>
    <t>Sun 20 TL M (S)</t>
  </si>
  <si>
    <t>Sun 20 TL M (P+)</t>
  </si>
  <si>
    <t>Sun 24 TL M (P+)</t>
  </si>
  <si>
    <t>Sun 33 TL M (P+)</t>
  </si>
  <si>
    <t>Sun 40 TL M (P+)</t>
  </si>
  <si>
    <t>Powador 48.0 TL3 M</t>
  </si>
  <si>
    <t>Powador 48.0 TL3 SPD 1+2</t>
  </si>
  <si>
    <t xml:space="preserve">blueplanet 50.0 TL3 XL </t>
  </si>
  <si>
    <t>STP 12000TL-US-10</t>
  </si>
  <si>
    <t>STP 15000TL-US-10</t>
  </si>
  <si>
    <t>STP 20000TL-US-10</t>
  </si>
  <si>
    <t>STP 30000TL-US-10</t>
  </si>
  <si>
    <t>208-240v</t>
  </si>
  <si>
    <t>208 - 240v</t>
  </si>
  <si>
    <t>208/220/240v</t>
  </si>
  <si>
    <t>480v</t>
  </si>
  <si>
    <t>STP 50000TL-US-10</t>
  </si>
  <si>
    <t>Exel Solar</t>
  </si>
  <si>
    <t>Dos paneles por Micro-Inversor</t>
  </si>
  <si>
    <t>1 MPPT, NEMA 4X, Con transformador HF, Interruptor DC</t>
  </si>
  <si>
    <t>2 MPPT, NEMA 4X</t>
  </si>
  <si>
    <t>3 MPPT, NEMA 4X, Interruptor DC</t>
  </si>
  <si>
    <t>4 MPPT, NEMA 4X, Interruptor DC</t>
  </si>
  <si>
    <t>5 MPPT, NEMA 4X, Interruptor DC</t>
  </si>
  <si>
    <t>6 MPPT, NEMA 4X, Interruptor DC</t>
  </si>
  <si>
    <t>7 MPPT, NEMA 4X, Interruptor DC</t>
  </si>
  <si>
    <t>8 MPPT, NEMA 4X, Interruptor DC</t>
  </si>
  <si>
    <t>Comunicación Wifi integrado + Interruptor DC + AFCI</t>
  </si>
  <si>
    <t>Interruptor DC AC integrado</t>
  </si>
  <si>
    <t>Rapid Shutdown</t>
  </si>
  <si>
    <t>MPPT, DC breaker, fuses, transformer</t>
  </si>
  <si>
    <t>MPPT, NEMA4X, DC breaker</t>
  </si>
  <si>
    <t>STD version: double MPPT, terminal block input, DC switch.</t>
  </si>
  <si>
    <t>PRO version: 2 DC connect option, DC fuses, switch &amp; surge arresters.</t>
  </si>
  <si>
    <t>Inverter only. No added protection</t>
  </si>
  <si>
    <t xml:space="preserve">DC fuses, voltage supressor </t>
  </si>
  <si>
    <t>incl. Webconnect</t>
  </si>
  <si>
    <t>ECU-MX-YC500</t>
  </si>
  <si>
    <t>PV Panel Ratio</t>
  </si>
  <si>
    <t>Initial &amp; Final Payment</t>
  </si>
  <si>
    <t>Savings vs CFE</t>
  </si>
  <si>
    <t xml:space="preserve">After MySOL               </t>
  </si>
  <si>
    <t>Antes</t>
  </si>
  <si>
    <t xml:space="preserve">Pago Inicial y Pago Final </t>
  </si>
  <si>
    <t>TIGO_GTWY-WCOMM</t>
  </si>
  <si>
    <t>ENE</t>
  </si>
  <si>
    <t>FEB</t>
  </si>
  <si>
    <t>MAR</t>
  </si>
  <si>
    <t>ABR</t>
  </si>
  <si>
    <t>MAY</t>
  </si>
  <si>
    <t>JUN</t>
  </si>
  <si>
    <t>JUL</t>
  </si>
  <si>
    <t>AGO</t>
  </si>
  <si>
    <t>SEP</t>
  </si>
  <si>
    <t>OCT</t>
  </si>
  <si>
    <t>NOV</t>
  </si>
  <si>
    <t>DIC</t>
  </si>
  <si>
    <t>CFE Monthly History</t>
  </si>
  <si>
    <t xml:space="preserve">Ahora con MySOL               </t>
  </si>
  <si>
    <t>Sur y Peninsular</t>
  </si>
  <si>
    <t>Discount Rate</t>
  </si>
  <si>
    <t>Cash Purchase</t>
  </si>
  <si>
    <t>MySOL Service Plan</t>
  </si>
  <si>
    <t>Cash Price</t>
  </si>
  <si>
    <t>Maintenance + Repair</t>
  </si>
  <si>
    <t>O&amp;M Markup</t>
  </si>
  <si>
    <t>Downtime</t>
  </si>
  <si>
    <t>Total (Today's Dollars)</t>
  </si>
  <si>
    <t>Buyout Price Schedule</t>
  </si>
  <si>
    <t>IRR</t>
  </si>
  <si>
    <t>Total w/ IVA</t>
  </si>
  <si>
    <t>No Tarifa 1</t>
  </si>
  <si>
    <t>Less Production</t>
  </si>
  <si>
    <t>Downtime Calc</t>
  </si>
  <si>
    <t>Cash System Inputs</t>
  </si>
  <si>
    <t>Buyout Price - Cumulative Savings</t>
  </si>
  <si>
    <t>Debt Investor % of Fund Price</t>
  </si>
  <si>
    <t>Equity Investor % of Fund Price</t>
  </si>
  <si>
    <t>MySOL % of Fund Price</t>
  </si>
  <si>
    <t>Debt Investor %</t>
  </si>
  <si>
    <t>Debt Investor Required IRR</t>
  </si>
  <si>
    <t>if Initial Payment &gt; 0, then funds go first to EGuage</t>
  </si>
  <si>
    <t>Debt Investor % of Customer Initial Payment</t>
  </si>
  <si>
    <t>Equity Investor % of Customer Initial Payment</t>
  </si>
  <si>
    <t>MySOL % of Customer Initial Payment</t>
  </si>
  <si>
    <t>Debt Investor FCF</t>
  </si>
  <si>
    <t>Equity Investor % of % of Cash Flows</t>
  </si>
  <si>
    <t>Debt Investor % of % of Cash Flows</t>
  </si>
  <si>
    <t>MySOL % of % of Cash Flows</t>
  </si>
  <si>
    <t>Amount Financed</t>
  </si>
  <si>
    <t>Debt Investor ROI</t>
  </si>
  <si>
    <t>Net Cash Flow Available to Debt Investor</t>
  </si>
  <si>
    <t>Cumulative NPV @ Debt Investor Required IRR</t>
  </si>
  <si>
    <t>Net Cash Flow Available to Equity Investor</t>
  </si>
  <si>
    <t>Cumulative NPV @ Equity Investor Required IRR</t>
  </si>
  <si>
    <t>Net Cash Flow Available to Investors</t>
  </si>
  <si>
    <t>Cumulative NPV @ Blended Investor Required IRR</t>
  </si>
  <si>
    <t>Blended IRR</t>
  </si>
  <si>
    <t>Final Payment @ Term End</t>
  </si>
  <si>
    <t>System Margin</t>
  </si>
  <si>
    <t>SPP</t>
  </si>
  <si>
    <t>Unit Cost</t>
  </si>
  <si>
    <t>Norte y Noreste</t>
  </si>
  <si>
    <t>REGION BAJA CALIFORNIA SUR</t>
  </si>
  <si>
    <t>REGION BAJA CALIFORNIA</t>
  </si>
  <si>
    <t>REGION BAJA CALIFORNIA SUR - CUOTAS MENSUALES EN VERANO</t>
  </si>
  <si>
    <t>REGION BAJA CALIFORNIA SUR - CUOTAS MENSUALES FUERA EN VERANO</t>
  </si>
  <si>
    <t>En Verano o Fuera en Verano</t>
  </si>
  <si>
    <t>KACO_blueplanet 3.0 TL1 M2 WM OD US33</t>
  </si>
  <si>
    <t>LA PAZ, BAJA CALIFORNIA SUR</t>
  </si>
  <si>
    <t>TIJUANA, BAJA CALIFORNIA</t>
  </si>
  <si>
    <t>LORETO, BAJA CALIFORNIA SUR</t>
  </si>
  <si>
    <t>CABO SAN LUCAS, BAJA CALIFORNIA SUR</t>
  </si>
  <si>
    <t>Avg</t>
  </si>
  <si>
    <t>COMONDÚ, BAJA CALIFORNIA SUR</t>
  </si>
  <si>
    <t>west coast</t>
  </si>
  <si>
    <t>southern tip</t>
  </si>
  <si>
    <t>east coast</t>
  </si>
  <si>
    <t>inland</t>
  </si>
  <si>
    <t>SAN IGNACIO, BAJA CALIFORNIA</t>
  </si>
  <si>
    <t>From CFE Web Site re Baja:  The period of application of the summer quotas comprises the 6 warmest months of the year, according to the observations of the thermometric stations that govern in each locality. The remaining 6 months apply for Out-of-Summer fees</t>
  </si>
  <si>
    <t>The analysis below (data from weatherbase.com) suggests that the warmest six months are May - October for a handful of cities around Baja, so using that algo</t>
  </si>
  <si>
    <t>Rankings</t>
  </si>
  <si>
    <t>Tilt</t>
  </si>
  <si>
    <t>Azimuth</t>
  </si>
  <si>
    <t>Monterrey</t>
  </si>
  <si>
    <t>Tepic (PV)</t>
  </si>
  <si>
    <t>Tijuana</t>
  </si>
  <si>
    <t>Guadalajara</t>
  </si>
  <si>
    <t>key</t>
  </si>
  <si>
    <t>City for Sun Hours</t>
  </si>
  <si>
    <t>Irradiance Cities</t>
  </si>
  <si>
    <t>Azimuth of PV Panels</t>
  </si>
  <si>
    <t>KACO_blueplanet 4.0 TL1 M2 WM OD US33</t>
  </si>
  <si>
    <t>MySOL Service Plan Summary</t>
  </si>
  <si>
    <t>MySOL Plan de Servicio</t>
  </si>
  <si>
    <t>O&amp;M Expenses</t>
  </si>
  <si>
    <t>MySOL Equity FCF (before O&amp;M)</t>
  </si>
  <si>
    <t>MySOL Equity FCF (after O&amp;M)</t>
  </si>
  <si>
    <t>MySOL O&amp;M Cost (Expected)</t>
  </si>
  <si>
    <t>MySOL O&amp;M Revenue (rec'd from Fund)</t>
  </si>
  <si>
    <t>MySOL Equity ROI (before O&amp;M)</t>
  </si>
  <si>
    <t>MySOL Equity ROI (after O&amp;M)</t>
  </si>
  <si>
    <t>Irradiance Key</t>
  </si>
  <si>
    <t>Irradiance Key Row</t>
  </si>
  <si>
    <t>Purchase from CFE</t>
  </si>
  <si>
    <t>Usage</t>
  </si>
  <si>
    <t>System Production</t>
  </si>
  <si>
    <t>Month Abbreviations</t>
  </si>
  <si>
    <t>APS_Micro Inversor APS YC500 Dual</t>
  </si>
  <si>
    <t>Enphase_M250</t>
  </si>
  <si>
    <t>ABB_UNO-2.0-I-OUTD-S-US</t>
  </si>
  <si>
    <t>ABB_UNO-2.5-I-OUTD-S-US</t>
  </si>
  <si>
    <t>ABB_PVI-3.0-OUTD-S-US</t>
  </si>
  <si>
    <t>ABB_PVI-3.6-OUTD-S-US</t>
  </si>
  <si>
    <t>ABB_PVI-3.8-OUTD-S-US</t>
  </si>
  <si>
    <t>ABB_PVI-4.2-OUTD-S-US</t>
  </si>
  <si>
    <t>ABB_PVI-5000-OUTD-S-US</t>
  </si>
  <si>
    <t>ABB_PVI-6000-OUTD-S-US</t>
  </si>
  <si>
    <t>Fronius_Galvo 1.5</t>
  </si>
  <si>
    <t>Fronius_Galvo 2.0</t>
  </si>
  <si>
    <t>Fronius_Galvo 2.5</t>
  </si>
  <si>
    <t>Fronius_Galvo 3.1</t>
  </si>
  <si>
    <t xml:space="preserve">Fronius_Primo 3.8-1 </t>
  </si>
  <si>
    <t>Fronius_Primo 5.0-1</t>
  </si>
  <si>
    <t>Fronius_Primo 6.0-1</t>
  </si>
  <si>
    <t>Fronius_Primo 7.6-1</t>
  </si>
  <si>
    <t>Fronius_Primo 8.2-1</t>
  </si>
  <si>
    <t>Fronius_Primo 10.0-1</t>
  </si>
  <si>
    <t>Fronius_Primo 11.4-1</t>
  </si>
  <si>
    <t>Fronius_Primo 12.5-1</t>
  </si>
  <si>
    <t>Fronius_Primo 15.0-1</t>
  </si>
  <si>
    <t>Ingeteam_Inge 1Play 2.5TLM-DCSW</t>
  </si>
  <si>
    <t>Ingeteam_Inge 1Play 3TLM-DCSW</t>
  </si>
  <si>
    <t>Ingeteam_Inge 1Play 3.3TLM-DCSW</t>
  </si>
  <si>
    <t>Ingeteam_Inge 1Play 3.68 TLM-DCSW</t>
  </si>
  <si>
    <t>Ingeteam_Inge 1Play 4.6TLM-DCSW</t>
  </si>
  <si>
    <t>Ingeteam_Inge 1Play 5TLM-DCSW</t>
  </si>
  <si>
    <t>Ingeteam_Inge 1Play 6TLM-DCSW</t>
  </si>
  <si>
    <t>KACO_blueplanet 2.0 TL1 M2 WM OD US33</t>
  </si>
  <si>
    <t>KACO_blueplanet 5.0 TL1 M2 WM OD US33</t>
  </si>
  <si>
    <t>SMA_Sunny Boy SB1.5</t>
  </si>
  <si>
    <t>SMA_Sunny Boy SB2.5</t>
  </si>
  <si>
    <t>SMA_SB3.0-1SP-US-40</t>
  </si>
  <si>
    <t>SMA_SB3.8-1SP-US-40</t>
  </si>
  <si>
    <t>SMA_SB5.0-1SP-US-40</t>
  </si>
  <si>
    <t>SMA_SB6.0-1SP-US-40</t>
  </si>
  <si>
    <t>SMA_SB7.0-1SP-US-40</t>
  </si>
  <si>
    <t>ABB_PVI-10.0-OUTD-S1-US 480-NG</t>
  </si>
  <si>
    <t>ABB_TRIO-20.0-TL-OUTD-S-US 480</t>
  </si>
  <si>
    <t>ABB_TRIO-27.6-TL-OUTD-S-US 480</t>
  </si>
  <si>
    <t>Fronius_Symo 10.0-3 208/240v</t>
  </si>
  <si>
    <t>Fronius_Symo 12.0-3 208/240v</t>
  </si>
  <si>
    <t>Fronius_Symo 15.0-3 208/240v</t>
  </si>
  <si>
    <t>Fronius_Symo 10.0-3 480v</t>
  </si>
  <si>
    <t>Fronius_Symo 12.5-3 480v</t>
  </si>
  <si>
    <t>Fronius_Symo 15.0-3 480v</t>
  </si>
  <si>
    <t>Fronius_Symo 17.5-3 480v</t>
  </si>
  <si>
    <t>Fronius_Symo 20.0-3 480v</t>
  </si>
  <si>
    <t>Fronius_Symo 22.7-3 480v</t>
  </si>
  <si>
    <t>Fronius_Symo 24.0-3 480v</t>
  </si>
  <si>
    <t>Ingeteam_Sun 15 TL M (S)</t>
  </si>
  <si>
    <t>Ingeteam_Sun 15 TL M (P+)</t>
  </si>
  <si>
    <t>Ingeteam_Sun 20 TL M (S)</t>
  </si>
  <si>
    <t>Ingeteam_Sun 20 TL M (P+)</t>
  </si>
  <si>
    <t>Ingeteam_Sun 24 TL M (P+)</t>
  </si>
  <si>
    <t>Ingeteam_Sun 33 TL M (P+)</t>
  </si>
  <si>
    <t>Ingeteam_Sun 40 TL M (P+)</t>
  </si>
  <si>
    <t>KACO_Powador 48.0 TL3 M</t>
  </si>
  <si>
    <t>KACO_Powador 48.0 TL3 SPD 1+2</t>
  </si>
  <si>
    <t xml:space="preserve">KACO_blueplanet 50.0 TL3 XL </t>
  </si>
  <si>
    <t>SMA_STP 10000TL-US-10</t>
  </si>
  <si>
    <t>SMA_STP 12000TL-US-10</t>
  </si>
  <si>
    <t>SMA_STP 15000TL-US-10</t>
  </si>
  <si>
    <t>SMA_STP 20000TL-US-10</t>
  </si>
  <si>
    <t>SMA_STP 30000TL-US-10</t>
  </si>
  <si>
    <t>SMA_STP 50000TL-US-10</t>
  </si>
  <si>
    <t>STP 10000TL-US-10</t>
  </si>
  <si>
    <t>DC Disconnect AFCI</t>
  </si>
  <si>
    <t>Colonia</t>
  </si>
  <si>
    <t>Optimal Summer</t>
  </si>
  <si>
    <t>Savings Rate (Min)</t>
  </si>
  <si>
    <t>Savings Rate (Max)</t>
  </si>
  <si>
    <t>Savings Rate (Increment)</t>
  </si>
  <si>
    <t>CFE Region</t>
  </si>
  <si>
    <t>CFE Rate (MXN/kWh)</t>
  </si>
  <si>
    <t>CFE Cargo Fijo (MXN)</t>
  </si>
  <si>
    <t>Promedio de 12 Meses</t>
  </si>
  <si>
    <t>Preferred</t>
  </si>
  <si>
    <t>Status Quo</t>
  </si>
  <si>
    <t>Scenario Parameters</t>
  </si>
  <si>
    <t>Bolsa de Energía</t>
  </si>
  <si>
    <t>Net Usage</t>
  </si>
  <si>
    <t>Savings vs Cash (Today's Dollars)</t>
  </si>
  <si>
    <t>Buyout Analysis</t>
  </si>
  <si>
    <t>MySOL Monthly Analysis in Year 1</t>
  </si>
  <si>
    <t>TOTALS</t>
  </si>
  <si>
    <t>MySOL Service Plan vs Cash Purchase Analysis</t>
  </si>
  <si>
    <t>Usage (kWh)</t>
  </si>
  <si>
    <t>Include O&amp;M After Term Upfront?</t>
  </si>
  <si>
    <t>False</t>
  </si>
  <si>
    <t>Include EGauge Upfront?</t>
  </si>
  <si>
    <t>EGauge Paid Upfront</t>
  </si>
  <si>
    <t>EGauge Remainder to add to Year 2</t>
  </si>
  <si>
    <t>after EGauge</t>
  </si>
  <si>
    <t>Nominal Payment @ Term End (MXN)</t>
  </si>
  <si>
    <t>Total Payment @ Term End (MXN)</t>
  </si>
  <si>
    <t>TIGO_CCA-PS-INT</t>
  </si>
  <si>
    <t>Promedio Ponderado</t>
  </si>
  <si>
    <t>Cancun</t>
  </si>
  <si>
    <t>Leon</t>
  </si>
  <si>
    <t>Mazatlan</t>
  </si>
  <si>
    <t>Merida</t>
  </si>
  <si>
    <t>Queretaro</t>
  </si>
  <si>
    <t>San Luis Potosi</t>
  </si>
  <si>
    <t>Optimal Year Round</t>
  </si>
  <si>
    <t>Flat Surface</t>
  </si>
  <si>
    <t>Customer Monthly Usage --&gt;</t>
  </si>
  <si>
    <t>Tilt Angle of PV Panels</t>
  </si>
  <si>
    <t>Tilt Goal of PV Panels</t>
  </si>
  <si>
    <t>Promedio</t>
  </si>
  <si>
    <t>Value of Bolsa de Energia --&gt;</t>
  </si>
  <si>
    <t>Mexicali</t>
  </si>
  <si>
    <t>Miguel Hidalgo</t>
  </si>
  <si>
    <t>Morelia</t>
  </si>
  <si>
    <t>Naulcapan de Juarez</t>
  </si>
  <si>
    <t>Nuevo Laredo</t>
  </si>
  <si>
    <t>Oaxaca de Juarez</t>
  </si>
  <si>
    <t>Pachuca de Soto</t>
  </si>
  <si>
    <t>Puebla de Zaragoza</t>
  </si>
  <si>
    <t>Reynosa</t>
  </si>
  <si>
    <t>Saltillo</t>
  </si>
  <si>
    <t>San Nicolas de los Garza</t>
  </si>
  <si>
    <t>Santa Catarina</t>
  </si>
  <si>
    <t>Tilt Goal</t>
  </si>
  <si>
    <t>Final Payment</t>
  </si>
  <si>
    <t>Net Cash Flow (Before Final Payment)</t>
  </si>
  <si>
    <t>O&amp;M Remainder</t>
  </si>
  <si>
    <t>Monthly Payment (MXN)</t>
  </si>
  <si>
    <t>Customer final payment</t>
  </si>
  <si>
    <t>Inverter Replacement Time (years)</t>
  </si>
  <si>
    <t>Equipment Replacement Reserve (USD/W)</t>
  </si>
  <si>
    <t>Annual Inverter Price Drop (%)</t>
  </si>
  <si>
    <t>Annual Standard Default Rate (%)</t>
  </si>
  <si>
    <t>Customer FCF (Default Adjusted)</t>
  </si>
  <si>
    <t>Inverter Replacement Expense</t>
  </si>
  <si>
    <t>Equipment Replacement Reserve</t>
  </si>
  <si>
    <t>Equipment Replacement Reserve (MXN/Yr)</t>
  </si>
  <si>
    <t>Total Costs</t>
  </si>
  <si>
    <t>System Inverter Cost w/IVA (MXN)</t>
  </si>
  <si>
    <t>System Production (kWh)</t>
  </si>
  <si>
    <t>DG</t>
  </si>
  <si>
    <t>Shipping</t>
  </si>
  <si>
    <t>Shipping (MXN/W)</t>
  </si>
  <si>
    <t>Fund Price w/IVA (MXN)</t>
  </si>
  <si>
    <t>Fund Price/Watt w/IVA (MXN)</t>
  </si>
  <si>
    <t>DG Energy Capital - Asset Pricing Model</t>
  </si>
  <si>
    <t>Model Inputs</t>
  </si>
  <si>
    <t>USD (MXN)</t>
  </si>
  <si>
    <t>Operational</t>
  </si>
  <si>
    <t>VAT (%)</t>
  </si>
  <si>
    <t>Degradation Escalator</t>
  </si>
  <si>
    <t>Inflation (%)</t>
  </si>
  <si>
    <t>Degraded Production (kwh)</t>
  </si>
  <si>
    <t>System Capacity DC (kwp)</t>
  </si>
  <si>
    <t>System Availability</t>
  </si>
  <si>
    <t>First Year Yield (P90) (kwh/kwp)</t>
  </si>
  <si>
    <t>Final Annual Production (kwh)</t>
  </si>
  <si>
    <t>Term Performance Guarantee (years)</t>
  </si>
  <si>
    <t>Inflation Escalator</t>
  </si>
  <si>
    <t>Annual System Degradation (%)</t>
  </si>
  <si>
    <t>Annual Availabilty Penalty (During Warranty) (%)</t>
  </si>
  <si>
    <t>Revenues</t>
  </si>
  <si>
    <t>Annual Availabilty Penalty (%)</t>
  </si>
  <si>
    <t>PPA Escalator</t>
  </si>
  <si>
    <t>PPA Price</t>
  </si>
  <si>
    <t>PPA Price (MXN/kwh)</t>
  </si>
  <si>
    <t>PPA Revenues (US$)</t>
  </si>
  <si>
    <t>PPA Price ($/kwh)</t>
  </si>
  <si>
    <t>PPA Escalator (%)</t>
  </si>
  <si>
    <t>Aggregated Standard Default</t>
  </si>
  <si>
    <t>PPA Term (years)</t>
  </si>
  <si>
    <t>Aggregated Default BBB-</t>
  </si>
  <si>
    <t>Aggregated Default BBB+</t>
  </si>
  <si>
    <t>O&amp;M Cost ($/kw)</t>
  </si>
  <si>
    <t>Default Adjusted Rev (Std)</t>
  </si>
  <si>
    <t>Others (Monitoring, AM) ($/kw)</t>
  </si>
  <si>
    <t>Default Adjusted Rev (BBB-)</t>
  </si>
  <si>
    <t>Default Adjusted Rev (BBB+)</t>
  </si>
  <si>
    <t>Inverter Cost ($/w)</t>
  </si>
  <si>
    <t>Operational Costs</t>
  </si>
  <si>
    <t>System Inverters Cost ($)</t>
  </si>
  <si>
    <t>O&amp;M Costs</t>
  </si>
  <si>
    <t>Future Inverter Price Drop (%)</t>
  </si>
  <si>
    <t>Other Costs</t>
  </si>
  <si>
    <t>Equipment Replacement Reserve Cost ($/w)</t>
  </si>
  <si>
    <t>Inverter Replacement Cost</t>
  </si>
  <si>
    <t>Discount Rate Standard (%)</t>
  </si>
  <si>
    <t>Discount Rate BBB- (%)</t>
  </si>
  <si>
    <t>Discount Rate BBB+ (%)</t>
  </si>
  <si>
    <t>Cash Flows</t>
  </si>
  <si>
    <t>Operatinal Cashflow (Std)</t>
  </si>
  <si>
    <t>Operatinal Cashflow (BBB-)</t>
  </si>
  <si>
    <t>Operatinal Cashflow (BBB+)</t>
  </si>
  <si>
    <t>Cashflow Value</t>
  </si>
  <si>
    <t>DR / Years</t>
  </si>
  <si>
    <t>NPV Cashflows (Std)</t>
  </si>
  <si>
    <t>NPV Cashflows (BBB-)</t>
  </si>
  <si>
    <t>NPV Cashflows (BBB+)</t>
  </si>
  <si>
    <t>Asset Value</t>
  </si>
  <si>
    <t>DG Asset Value (Std)</t>
  </si>
  <si>
    <t>DG Asset Value (BBB-)</t>
  </si>
  <si>
    <t>DG Asset Value (BBB+)</t>
  </si>
  <si>
    <t>5 year performance guarantee included</t>
  </si>
  <si>
    <t>Desempeño Garantizado al 100% por 5 años</t>
  </si>
  <si>
    <t>MySOL Default</t>
  </si>
  <si>
    <t>PPA Revenues (MXN)</t>
  </si>
  <si>
    <t>Initial Pymt Reqd (Fund Price - NPV Cashflows)</t>
  </si>
  <si>
    <t>&lt;Computed Automatically&gt;</t>
  </si>
  <si>
    <t>MySOL Markup Total (Minimum)</t>
  </si>
  <si>
    <t>MySOL Markup Total (Maximum)</t>
  </si>
  <si>
    <t>Savings Rate Minimum (DAC)</t>
  </si>
  <si>
    <t>Savings Rate Minimum (Tarifa 2)</t>
  </si>
  <si>
    <t>TSM-270PT</t>
  </si>
  <si>
    <t>TSM-325PT</t>
  </si>
  <si>
    <t>JA-P660-270</t>
  </si>
  <si>
    <t>JA-P672-325</t>
  </si>
  <si>
    <t>ET-P660-270</t>
  </si>
  <si>
    <t>ET-P672-325</t>
  </si>
  <si>
    <t>Risen Solar</t>
  </si>
  <si>
    <t>60X6 270Wp</t>
  </si>
  <si>
    <t>72X6 320Wp</t>
  </si>
  <si>
    <t>72X6 325Wp</t>
  </si>
  <si>
    <t>GCL</t>
  </si>
  <si>
    <t>EXW Exel Warehouse - 30 mods/pallet</t>
  </si>
  <si>
    <t>EXW Exel Warehouse - 27 mods/pallet</t>
  </si>
  <si>
    <t>EXW Exel Warehouse - 26 mods/pallet</t>
  </si>
  <si>
    <t>EXW Exel Warehouse - ?? mods/pallet</t>
  </si>
  <si>
    <t>Trina Solar_TSM-325PT</t>
  </si>
  <si>
    <t>Acapulco de Juarez</t>
  </si>
  <si>
    <t>Alvaro Obregon</t>
  </si>
  <si>
    <t>Apodaca</t>
  </si>
  <si>
    <t>Azcapotzalco</t>
  </si>
  <si>
    <t>Benito Juarez</t>
  </si>
  <si>
    <t>Celaya</t>
  </si>
  <si>
    <t>Ciudad Juarez</t>
  </si>
  <si>
    <t>Ciudad Lopez Mateos</t>
  </si>
  <si>
    <t>Ciudad Nezahualcoyotl</t>
  </si>
  <si>
    <t>Ciudad Obregon</t>
  </si>
  <si>
    <t>Ciudad Victoria</t>
  </si>
  <si>
    <t>Coacalco</t>
  </si>
  <si>
    <t>Coatzacoalcos</t>
  </si>
  <si>
    <t>Colonia del Valle</t>
  </si>
  <si>
    <t>Coyoacan</t>
  </si>
  <si>
    <t>Cuauhtemoc</t>
  </si>
  <si>
    <t>Cuautitlan Izcalli</t>
  </si>
  <si>
    <t>Cuernavaca</t>
  </si>
  <si>
    <t>Culiacan</t>
  </si>
  <si>
    <t>Ecatepec</t>
  </si>
  <si>
    <t>Ensenada</t>
  </si>
  <si>
    <t>general Escobedo</t>
  </si>
  <si>
    <t>Gomez Palacio</t>
  </si>
  <si>
    <t>Guadalupe</t>
  </si>
  <si>
    <t>Gustavo A. Madero</t>
  </si>
  <si>
    <t>Hermosillo</t>
  </si>
  <si>
    <t>Irapuato</t>
  </si>
  <si>
    <t>Ixtapaluca</t>
  </si>
  <si>
    <t>Iztacalco</t>
  </si>
  <si>
    <t>Iztapalapa</t>
  </si>
  <si>
    <t>Jalapa Enriquez</t>
  </si>
  <si>
    <t>Los Mochis</t>
  </si>
  <si>
    <t>Los Reyes</t>
  </si>
  <si>
    <t>Magdalena Contreras</t>
  </si>
  <si>
    <t>Matamoros</t>
  </si>
  <si>
    <t>Nicolas Romero</t>
  </si>
  <si>
    <t>Tampico</t>
  </si>
  <si>
    <t>Tehuacan</t>
  </si>
  <si>
    <t>Tepic</t>
  </si>
  <si>
    <t>Tlahuac</t>
  </si>
  <si>
    <t>Tlalnepantla</t>
  </si>
  <si>
    <t>Tlalpan</t>
  </si>
  <si>
    <t>Tlaquepaque</t>
  </si>
  <si>
    <t>Toluca</t>
  </si>
  <si>
    <t>Tonala</t>
  </si>
  <si>
    <t>Torreon</t>
  </si>
  <si>
    <t>Tuxtla Gutierrex</t>
  </si>
  <si>
    <t>Uraupan de Progreso</t>
  </si>
  <si>
    <t>Venustiano Carranza</t>
  </si>
  <si>
    <t>Villahermosa</t>
  </si>
  <si>
    <t>Xochimilco</t>
  </si>
  <si>
    <t>Zapopan</t>
  </si>
  <si>
    <t>Insurance for PV Panels</t>
  </si>
  <si>
    <t>MySOL SUMMARY &amp; BENEFITS</t>
  </si>
  <si>
    <r>
      <rPr>
        <b/>
        <sz val="12"/>
        <rFont val="Arial"/>
        <family val="2"/>
      </rPr>
      <t>Para uso exclusivo de Solcity Distribución Mexico SAPI de CV</t>
    </r>
    <r>
      <rPr>
        <sz val="12"/>
        <rFont val="Arial"/>
        <family val="2"/>
      </rPr>
      <t xml:space="preserve">
(Obligatorio el llenado de estos campos por el Funcionario Facultado)</t>
    </r>
  </si>
  <si>
    <t xml:space="preserve">RESUMEN &amp; BENEFICIOS MySOL </t>
  </si>
  <si>
    <t>Rep Deed Number</t>
  </si>
  <si>
    <t>Rep Deed Dated</t>
  </si>
  <si>
    <t>Rep Deed Notary Number</t>
  </si>
  <si>
    <t>Rep Deed Notary Location</t>
  </si>
  <si>
    <t>Rep Deed Notary Name</t>
  </si>
  <si>
    <t>Rep Deed Notary Public Registry</t>
  </si>
  <si>
    <t>Rep Deed Notary Folio Number</t>
  </si>
  <si>
    <t>RESUMEN y BENEFICIOS MySOL</t>
  </si>
</sst>
</file>

<file path=xl/styles.xml><?xml version="1.0" encoding="utf-8"?>
<styleSheet xmlns="http://schemas.openxmlformats.org/spreadsheetml/2006/main" xmlns:mc="http://schemas.openxmlformats.org/markup-compatibility/2006" xmlns:x14ac="http://schemas.microsoft.com/office/spreadsheetml/2009/9/ac" mc:Ignorable="x14ac">
  <numFmts count="46">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 numFmtId="165" formatCode="[$$-409]#,##0.00;[Red]\-[$$-409]#,##0.00"/>
    <numFmt numFmtId="166" formatCode="_(\$* #,##0.00_);_(\$* \(#,##0.00\);_(\$* \-??_);_(@_)"/>
    <numFmt numFmtId="167" formatCode="[$$-409]#,##0;[Red]\-[$$-409]#,##0"/>
    <numFmt numFmtId="168" formatCode="0.0"/>
    <numFmt numFmtId="169" formatCode="_(\$* #,##0_);_(\$* \(#,##0\);_(\$* \-??_);_(@_)"/>
    <numFmt numFmtId="170" formatCode="_-* #,##0.00_-;\-* #,##0.00_-;_-* \-??_-;_-@_-"/>
    <numFmt numFmtId="171" formatCode="_-* #,##0_-;\-* #,##0_-;_-* \-??_-;_-@_-"/>
    <numFmt numFmtId="172" formatCode="\$#,##0"/>
    <numFmt numFmtId="173" formatCode="\$#,##0_);&quot;($&quot;#,##0\);&quot;-- &quot;"/>
    <numFmt numFmtId="174" formatCode="\$#,##0_);&quot;($&quot;#,##0\)"/>
    <numFmt numFmtId="175" formatCode="\$#,##0.0_);&quot;($&quot;#,##0.0\);&quot;-- &quot;"/>
    <numFmt numFmtId="176" formatCode="mm/dd/yy"/>
    <numFmt numFmtId="177" formatCode="_(* #,##0_);_(* \(#,##0\);_(* &quot;-&quot;??_);_(@_)"/>
    <numFmt numFmtId="178" formatCode="_(* #,##0.00_);[Red]_(* \-#,##0.00_);_(* &quot;-&quot;??_);_(@_)"/>
    <numFmt numFmtId="179" formatCode="_(* #,##0_);[Red]_(* \-#,##0_);_(* &quot;-&quot;??_);_(@_)"/>
    <numFmt numFmtId="180" formatCode="_(* #,##0.0000_);[Red]_(* \-#,##0.0000_);_(* &quot;-&quot;??_);_(@_)"/>
    <numFmt numFmtId="181" formatCode="[$$-409]#,##0.00;[Red][$$-409]#,##0.00"/>
    <numFmt numFmtId="182" formatCode="_(* #,##0_);[Red]_(* \-#,##0_);_(* &quot;-&quot;_);_(@_)"/>
    <numFmt numFmtId="183" formatCode="_(&quot;$&quot;* #,##0.0000_);_(&quot;$&quot;* \(#,##0.0000\);_(&quot;$&quot;* &quot;-&quot;????_);_(@_)"/>
    <numFmt numFmtId="184" formatCode="_(\$* #,##0_);_(\$* \(#,##0\);_(\$* \-_);_(@_)"/>
    <numFmt numFmtId="185" formatCode="#,##0.0;[Red]\-#,##0.0"/>
    <numFmt numFmtId="186" formatCode="_(\$* #,##0.0000_);_(\$* \(#,##0.0000\);_(\$* \-??_);_(@_)"/>
    <numFmt numFmtId="187" formatCode="[$$-409]#,##0_);\([$$-409]#,##0\)"/>
    <numFmt numFmtId="188" formatCode="0.00%;[Red]\-0.00%"/>
    <numFmt numFmtId="189" formatCode="0%;[Red]\-0%"/>
    <numFmt numFmtId="190" formatCode="_(* #,##0.0_);[Red]_(* \-#,##0.0_);_(* &quot;-&quot;?_);_(@_)"/>
    <numFmt numFmtId="191" formatCode="_(* #,##0.0000_);[Red]_(* \-#,##0.0000_);_(* &quot;-&quot;????_);_(@_)"/>
    <numFmt numFmtId="192" formatCode="0.0%;[Red]\-0.0%"/>
    <numFmt numFmtId="193" formatCode="_(* #,##0_);[Red]_(* \-#,##0_);_(* &quot;&quot;\ \-\ &quot;&quot;_);_(@_)"/>
    <numFmt numFmtId="194" formatCode="_(* #,##0.00_);[Red]_(* \-#,##0.00_);_(* &quot;-&quot;_);_(@_)"/>
    <numFmt numFmtId="195" formatCode="_(* #,##0_);[Red]_(* \-#,##0_);_(* &quot;-&quot;????_);_(@_)"/>
    <numFmt numFmtId="196" formatCode="_(* #,##0_);[Red]_(* \-#,##0_);_(* 0_);_(@_)"/>
    <numFmt numFmtId="197" formatCode="_(* #,##0.0000_);[Red]_(* \-#,##0.0000_);_(* 0_);_(@_)"/>
    <numFmt numFmtId="198" formatCode="[$$]#,##0.000"/>
    <numFmt numFmtId="199" formatCode="[$$-380A]\ #,##0.0000"/>
    <numFmt numFmtId="200" formatCode="[$$]#,##0.00"/>
    <numFmt numFmtId="201" formatCode="0.000%"/>
    <numFmt numFmtId="202" formatCode="[$$]#,##0"/>
    <numFmt numFmtId="203" formatCode="[$$-380A]\ #,##0.00"/>
    <numFmt numFmtId="204" formatCode="_(* #,##0.00_);[Red]_(* \-#,##0.00_);_(* 0_);_(@_)"/>
  </numFmts>
  <fonts count="62" x14ac:knownFonts="1">
    <font>
      <sz val="10"/>
      <name val="Arial"/>
      <family val="2"/>
    </font>
    <font>
      <sz val="8"/>
      <color theme="1"/>
      <name val="Verdana"/>
      <family val="2"/>
    </font>
    <font>
      <sz val="8"/>
      <color theme="1"/>
      <name val="Verdana"/>
      <family val="2"/>
    </font>
    <font>
      <sz val="8"/>
      <color theme="1"/>
      <name val="Verdana"/>
      <family val="2"/>
    </font>
    <font>
      <sz val="8"/>
      <color theme="1"/>
      <name val="Verdana"/>
      <family val="2"/>
    </font>
    <font>
      <sz val="8"/>
      <color theme="1"/>
      <name val="Verdana"/>
      <family val="2"/>
    </font>
    <font>
      <sz val="8"/>
      <color theme="1"/>
      <name val="Verdana"/>
      <family val="2"/>
    </font>
    <font>
      <sz val="8"/>
      <color theme="1"/>
      <name val="Verdana"/>
      <family val="2"/>
    </font>
    <font>
      <sz val="8"/>
      <color theme="1"/>
      <name val="Verdana"/>
      <family val="2"/>
    </font>
    <font>
      <sz val="8"/>
      <color theme="1"/>
      <name val="Verdana"/>
      <family val="2"/>
    </font>
    <font>
      <sz val="8"/>
      <color theme="1"/>
      <name val="Verdana"/>
      <family val="2"/>
    </font>
    <font>
      <sz val="10"/>
      <name val="Arial"/>
      <family val="2"/>
    </font>
    <font>
      <b/>
      <sz val="10"/>
      <name val="Arial"/>
      <family val="2"/>
    </font>
    <font>
      <sz val="12"/>
      <color indexed="8"/>
      <name val="Calibri"/>
      <family val="2"/>
    </font>
    <font>
      <b/>
      <sz val="18"/>
      <name val="Arial"/>
      <family val="2"/>
    </font>
    <font>
      <b/>
      <sz val="16"/>
      <name val="Arial"/>
      <family val="2"/>
    </font>
    <font>
      <b/>
      <sz val="14"/>
      <name val="Arial"/>
      <family val="2"/>
    </font>
    <font>
      <sz val="12"/>
      <name val="Arial"/>
      <family val="2"/>
    </font>
    <font>
      <b/>
      <sz val="14"/>
      <color indexed="9"/>
      <name val="Arial"/>
      <family val="2"/>
    </font>
    <font>
      <sz val="16"/>
      <name val="Arial"/>
      <family val="2"/>
    </font>
    <font>
      <b/>
      <sz val="11"/>
      <name val="Arial"/>
      <family val="2"/>
    </font>
    <font>
      <sz val="11"/>
      <name val="Arial"/>
      <family val="2"/>
    </font>
    <font>
      <b/>
      <sz val="12"/>
      <name val="Arial"/>
      <family val="2"/>
    </font>
    <font>
      <b/>
      <sz val="12"/>
      <color indexed="8"/>
      <name val="Arial"/>
      <family val="2"/>
    </font>
    <font>
      <sz val="7.5"/>
      <color indexed="63"/>
      <name val="TradeGothicLTStd"/>
      <family val="2"/>
    </font>
    <font>
      <u/>
      <sz val="10"/>
      <color theme="10"/>
      <name val="Arial"/>
      <family val="2"/>
    </font>
    <font>
      <u/>
      <sz val="10"/>
      <color theme="11"/>
      <name val="Arial"/>
      <family val="2"/>
    </font>
    <font>
      <b/>
      <sz val="12"/>
      <color indexed="9"/>
      <name val="Arial"/>
      <family val="2"/>
    </font>
    <font>
      <b/>
      <sz val="8"/>
      <color theme="1"/>
      <name val="Verdana"/>
      <family val="2"/>
    </font>
    <font>
      <sz val="8"/>
      <name val="Verdana"/>
      <family val="2"/>
    </font>
    <font>
      <b/>
      <sz val="8"/>
      <name val="Verdana"/>
      <family val="2"/>
    </font>
    <font>
      <b/>
      <sz val="8"/>
      <color indexed="8"/>
      <name val="Verdana"/>
      <family val="2"/>
    </font>
    <font>
      <sz val="8"/>
      <color indexed="8"/>
      <name val="Verdana"/>
      <family val="2"/>
    </font>
    <font>
      <vertAlign val="superscript"/>
      <sz val="8"/>
      <name val="Verdana"/>
      <family val="2"/>
    </font>
    <font>
      <sz val="8"/>
      <color rgb="FF0000FF"/>
      <name val="Verdana"/>
      <family val="2"/>
    </font>
    <font>
      <sz val="9"/>
      <color indexed="81"/>
      <name val="Tahoma"/>
      <family val="2"/>
    </font>
    <font>
      <b/>
      <sz val="9"/>
      <color indexed="81"/>
      <name val="Tahoma"/>
      <family val="2"/>
    </font>
    <font>
      <sz val="11"/>
      <color theme="1"/>
      <name val="Calibri"/>
      <family val="2"/>
      <scheme val="minor"/>
    </font>
    <font>
      <u/>
      <sz val="8"/>
      <color theme="10"/>
      <name val="Verdana"/>
      <family val="2"/>
    </font>
    <font>
      <b/>
      <sz val="10"/>
      <color rgb="FF000000"/>
      <name val="Arial"/>
      <family val="2"/>
    </font>
    <font>
      <sz val="10"/>
      <name val="Book Antiqua"/>
      <family val="1"/>
    </font>
    <font>
      <b/>
      <sz val="28"/>
      <name val="Arial Narrow"/>
      <family val="2"/>
    </font>
    <font>
      <sz val="8"/>
      <name val="Arial"/>
      <family val="2"/>
    </font>
    <font>
      <sz val="9"/>
      <name val="Arial"/>
      <family val="2"/>
    </font>
    <font>
      <b/>
      <sz val="8"/>
      <color rgb="FFFF0000"/>
      <name val="Verdana"/>
      <family val="2"/>
    </font>
    <font>
      <b/>
      <sz val="10"/>
      <color rgb="FFFF0000"/>
      <name val="Arial"/>
      <family val="2"/>
    </font>
    <font>
      <sz val="14"/>
      <name val="Arial"/>
      <family val="2"/>
    </font>
    <font>
      <b/>
      <sz val="8"/>
      <color theme="0"/>
      <name val="Verdana"/>
      <family val="2"/>
    </font>
    <font>
      <b/>
      <sz val="14"/>
      <name val="Verdana"/>
      <family val="2"/>
    </font>
    <font>
      <b/>
      <sz val="10"/>
      <color theme="0"/>
      <name val="Verdana"/>
      <family val="2"/>
    </font>
    <font>
      <sz val="8"/>
      <color rgb="FFC0C0C0"/>
      <name val="Verdana"/>
      <family val="2"/>
    </font>
    <font>
      <sz val="8"/>
      <color theme="0"/>
      <name val="Verdana"/>
      <family val="2"/>
    </font>
    <font>
      <sz val="8"/>
      <color theme="3" tint="-0.249977111117893"/>
      <name val="Verdana"/>
      <family val="2"/>
    </font>
    <font>
      <b/>
      <sz val="9"/>
      <color indexed="81"/>
      <name val="Arial"/>
      <family val="2"/>
    </font>
    <font>
      <sz val="9"/>
      <color indexed="81"/>
      <name val="Arial"/>
      <family val="2"/>
    </font>
    <font>
      <sz val="8"/>
      <color theme="0" tint="-0.34998626667073579"/>
      <name val="Verdana"/>
      <family val="2"/>
    </font>
    <font>
      <b/>
      <sz val="16"/>
      <color indexed="9"/>
      <name val="Arial"/>
      <family val="2"/>
    </font>
    <font>
      <b/>
      <sz val="14"/>
      <color indexed="8"/>
      <name val="Arial"/>
      <family val="2"/>
    </font>
    <font>
      <b/>
      <sz val="18"/>
      <color theme="0"/>
      <name val="Arial"/>
      <family val="2"/>
    </font>
    <font>
      <b/>
      <sz val="16"/>
      <color indexed="8"/>
      <name val="Arial"/>
      <family val="2"/>
    </font>
    <font>
      <b/>
      <u/>
      <sz val="12"/>
      <name val="Arial"/>
      <family val="2"/>
    </font>
    <font>
      <sz val="12"/>
      <color rgb="FFFF0000"/>
      <name val="Arial"/>
      <family val="2"/>
    </font>
  </fonts>
  <fills count="25">
    <fill>
      <patternFill patternType="none"/>
    </fill>
    <fill>
      <patternFill patternType="gray125"/>
    </fill>
    <fill>
      <patternFill patternType="solid">
        <fgColor indexed="17"/>
        <bgColor indexed="21"/>
      </patternFill>
    </fill>
    <fill>
      <patternFill patternType="solid">
        <fgColor indexed="42"/>
        <bgColor indexed="26"/>
      </patternFill>
    </fill>
    <fill>
      <patternFill patternType="solid">
        <fgColor rgb="FFFFFF00"/>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rgb="FFFFFFCC"/>
        <bgColor indexed="64"/>
      </patternFill>
    </fill>
    <fill>
      <patternFill patternType="solid">
        <fgColor rgb="FFC0C0C0"/>
        <bgColor indexed="64"/>
      </patternFill>
    </fill>
    <fill>
      <patternFill patternType="solid">
        <fgColor rgb="FFEAEAEA"/>
        <bgColor indexed="64"/>
      </patternFill>
    </fill>
    <fill>
      <patternFill patternType="solid">
        <fgColor rgb="FFFFFFFF"/>
        <bgColor indexed="64"/>
      </patternFill>
    </fill>
    <fill>
      <patternFill patternType="solid">
        <fgColor rgb="FFDDDDDD"/>
        <bgColor indexed="64"/>
      </patternFill>
    </fill>
    <fill>
      <patternFill patternType="solid">
        <fgColor rgb="FF008000"/>
        <bgColor indexed="64"/>
      </patternFill>
    </fill>
    <fill>
      <patternFill patternType="solid">
        <fgColor rgb="FFFF6600"/>
        <bgColor indexed="64"/>
      </patternFill>
    </fill>
    <fill>
      <patternFill patternType="solid">
        <fgColor rgb="FFDCE6F1"/>
        <bgColor indexed="64"/>
      </patternFill>
    </fill>
    <fill>
      <patternFill patternType="solid">
        <fgColor theme="0"/>
        <bgColor indexed="64"/>
      </patternFill>
    </fill>
    <fill>
      <patternFill patternType="solid">
        <fgColor theme="3" tint="-0.249977111117893"/>
        <bgColor rgb="FF00FFFF"/>
      </patternFill>
    </fill>
    <fill>
      <patternFill patternType="solid">
        <fgColor theme="3" tint="-0.249977111117893"/>
        <bgColor rgb="FF93C47D"/>
      </patternFill>
    </fill>
    <fill>
      <patternFill patternType="solid">
        <fgColor theme="3" tint="0.39997558519241921"/>
        <bgColor rgb="FFCCCCCC"/>
      </patternFill>
    </fill>
    <fill>
      <patternFill patternType="solid">
        <fgColor theme="3" tint="0.79998168889431442"/>
        <bgColor indexed="64"/>
      </patternFill>
    </fill>
    <fill>
      <patternFill patternType="solid">
        <fgColor rgb="FF00FF00"/>
        <bgColor rgb="FF00FF00"/>
      </patternFill>
    </fill>
    <fill>
      <patternFill patternType="solid">
        <fgColor theme="3" tint="0.39997558519241921"/>
        <bgColor indexed="64"/>
      </patternFill>
    </fill>
    <fill>
      <patternFill patternType="solid">
        <fgColor rgb="FFFFC000"/>
        <bgColor indexed="64"/>
      </patternFill>
    </fill>
    <fill>
      <patternFill patternType="gray0625">
        <fgColor rgb="FFDDDDDD"/>
        <bgColor rgb="FFF8F8F8"/>
      </patternFill>
    </fill>
    <fill>
      <patternFill patternType="solid">
        <fgColor rgb="FFFF0000"/>
        <bgColor indexed="64"/>
      </patternFill>
    </fill>
  </fills>
  <borders count="130">
    <border>
      <left/>
      <right/>
      <top/>
      <bottom/>
      <diagonal/>
    </border>
    <border>
      <left/>
      <right/>
      <top/>
      <bottom style="hair">
        <color indexed="8"/>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bottom/>
      <diagonal/>
    </border>
    <border>
      <left style="thin">
        <color auto="1"/>
      </left>
      <right/>
      <top/>
      <bottom/>
      <diagonal/>
    </border>
    <border>
      <left style="thin">
        <color auto="1"/>
      </left>
      <right/>
      <top style="thin">
        <color auto="1"/>
      </top>
      <bottom style="double">
        <color auto="1"/>
      </bottom>
      <diagonal/>
    </border>
    <border>
      <left/>
      <right/>
      <top style="thin">
        <color auto="1"/>
      </top>
      <bottom style="double">
        <color auto="1"/>
      </bottom>
      <diagonal/>
    </border>
    <border>
      <left/>
      <right style="thin">
        <color auto="1"/>
      </right>
      <top style="thin">
        <color auto="1"/>
      </top>
      <bottom style="double">
        <color auto="1"/>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style="thin">
        <color auto="1"/>
      </bottom>
      <diagonal/>
    </border>
    <border>
      <left style="thin">
        <color auto="1"/>
      </left>
      <right style="double">
        <color auto="1"/>
      </right>
      <top style="thin">
        <color auto="1"/>
      </top>
      <bottom/>
      <diagonal/>
    </border>
    <border>
      <left style="thin">
        <color auto="1"/>
      </left>
      <right style="double">
        <color auto="1"/>
      </right>
      <top/>
      <bottom/>
      <diagonal/>
    </border>
    <border>
      <left style="thin">
        <color auto="1"/>
      </left>
      <right style="double">
        <color auto="1"/>
      </right>
      <top/>
      <bottom style="thin">
        <color auto="1"/>
      </bottom>
      <diagonal/>
    </border>
    <border>
      <left style="double">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double">
        <color auto="1"/>
      </top>
      <bottom/>
      <diagonal/>
    </border>
    <border>
      <left/>
      <right/>
      <top style="double">
        <color auto="1"/>
      </top>
      <bottom/>
      <diagonal/>
    </border>
    <border>
      <left/>
      <right style="thin">
        <color auto="1"/>
      </right>
      <top style="double">
        <color auto="1"/>
      </top>
      <bottom/>
      <diagonal/>
    </border>
    <border>
      <left style="thin">
        <color auto="1"/>
      </left>
      <right style="thin">
        <color auto="1"/>
      </right>
      <top style="thin">
        <color auto="1"/>
      </top>
      <bottom style="thin">
        <color auto="1"/>
      </bottom>
      <diagonal/>
    </border>
    <border>
      <left style="double">
        <color auto="1"/>
      </left>
      <right style="thin">
        <color auto="1"/>
      </right>
      <top style="thin">
        <color auto="1"/>
      </top>
      <bottom/>
      <diagonal/>
    </border>
    <border>
      <left style="double">
        <color auto="1"/>
      </left>
      <right style="thin">
        <color auto="1"/>
      </right>
      <top/>
      <bottom/>
      <diagonal/>
    </border>
    <border>
      <left style="double">
        <color auto="1"/>
      </left>
      <right style="thin">
        <color auto="1"/>
      </right>
      <top/>
      <bottom style="thin">
        <color auto="1"/>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top style="double">
        <color auto="1"/>
      </top>
      <bottom style="thin">
        <color auto="1"/>
      </bottom>
      <diagonal/>
    </border>
    <border>
      <left style="double">
        <color auto="1"/>
      </left>
      <right/>
      <top/>
      <bottom/>
      <diagonal/>
    </border>
    <border>
      <left style="double">
        <color auto="1"/>
      </left>
      <right/>
      <top/>
      <bottom style="thin">
        <color auto="1"/>
      </bottom>
      <diagonal/>
    </border>
    <border>
      <left style="thin">
        <color auto="1"/>
      </left>
      <right style="thin">
        <color auto="1"/>
      </right>
      <top style="thin">
        <color auto="1"/>
      </top>
      <bottom style="double">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hair">
        <color auto="1"/>
      </right>
      <top style="double">
        <color auto="1"/>
      </top>
      <bottom/>
      <diagonal/>
    </border>
    <border>
      <left style="hair">
        <color auto="1"/>
      </left>
      <right/>
      <top style="double">
        <color auto="1"/>
      </top>
      <bottom/>
      <diagonal/>
    </border>
    <border>
      <left style="thin">
        <color auto="1"/>
      </left>
      <right style="hair">
        <color auto="1"/>
      </right>
      <top/>
      <bottom/>
      <diagonal/>
    </border>
    <border>
      <left style="hair">
        <color auto="1"/>
      </left>
      <right/>
      <top/>
      <bottom/>
      <diagonal/>
    </border>
    <border>
      <left style="thin">
        <color auto="1"/>
      </left>
      <right style="hair">
        <color auto="1"/>
      </right>
      <top/>
      <bottom style="thin">
        <color auto="1"/>
      </bottom>
      <diagonal/>
    </border>
    <border>
      <left style="hair">
        <color auto="1"/>
      </left>
      <right/>
      <top/>
      <bottom style="thin">
        <color auto="1"/>
      </bottom>
      <diagonal/>
    </border>
    <border>
      <left style="thin">
        <color indexed="64"/>
      </left>
      <right style="hair">
        <color indexed="64"/>
      </right>
      <top style="thin">
        <color indexed="64"/>
      </top>
      <bottom/>
      <diagonal/>
    </border>
    <border>
      <left style="hair">
        <color indexed="64"/>
      </left>
      <right/>
      <top style="thin">
        <color indexed="64"/>
      </top>
      <bottom/>
      <diagonal/>
    </border>
    <border>
      <left style="thin">
        <color auto="1"/>
      </left>
      <right/>
      <top style="thin">
        <color auto="1"/>
      </top>
      <bottom style="thin">
        <color indexed="8"/>
      </bottom>
      <diagonal/>
    </border>
    <border>
      <left/>
      <right/>
      <top style="thin">
        <color auto="1"/>
      </top>
      <bottom style="thin">
        <color indexed="8"/>
      </bottom>
      <diagonal/>
    </border>
    <border>
      <left/>
      <right style="thin">
        <color auto="1"/>
      </right>
      <top style="thin">
        <color auto="1"/>
      </top>
      <bottom style="thin">
        <color indexed="8"/>
      </bottom>
      <diagonal/>
    </border>
    <border>
      <left style="thin">
        <color auto="1"/>
      </left>
      <right style="thin">
        <color auto="1"/>
      </right>
      <top/>
      <bottom style="thin">
        <color auto="1"/>
      </bottom>
      <diagonal/>
    </border>
    <border>
      <left style="medium">
        <color rgb="FF0000FF"/>
      </left>
      <right style="medium">
        <color rgb="FF0000FF"/>
      </right>
      <top style="medium">
        <color rgb="FF0000FF"/>
      </top>
      <bottom style="medium">
        <color rgb="FF0000FF"/>
      </bottom>
      <diagonal/>
    </border>
    <border>
      <left/>
      <right/>
      <top/>
      <bottom style="medium">
        <color rgb="FF0000FF"/>
      </bottom>
      <diagonal/>
    </border>
    <border>
      <left/>
      <right style="medium">
        <color rgb="FF0000FF"/>
      </right>
      <top/>
      <bottom/>
      <diagonal/>
    </border>
    <border>
      <left style="thin">
        <color auto="1"/>
      </left>
      <right style="thin">
        <color auto="1"/>
      </right>
      <top style="double">
        <color auto="1"/>
      </top>
      <bottom style="thin">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medium">
        <color auto="1"/>
      </right>
      <top/>
      <bottom style="medium">
        <color rgb="FF0000FF"/>
      </bottom>
      <diagonal/>
    </border>
    <border>
      <left/>
      <right/>
      <top style="medium">
        <color auto="1"/>
      </top>
      <bottom style="medium">
        <color rgb="FF0000FF"/>
      </bottom>
      <diagonal/>
    </border>
    <border>
      <left/>
      <right style="medium">
        <color auto="1"/>
      </right>
      <top style="medium">
        <color auto="1"/>
      </top>
      <bottom style="medium">
        <color rgb="FF0000FF"/>
      </bottom>
      <diagonal/>
    </border>
    <border>
      <left style="medium">
        <color auto="1"/>
      </left>
      <right/>
      <top style="medium">
        <color auto="1"/>
      </top>
      <bottom style="hair">
        <color auto="1"/>
      </bottom>
      <diagonal/>
    </border>
    <border>
      <left/>
      <right/>
      <top style="medium">
        <color auto="1"/>
      </top>
      <bottom style="hair">
        <color auto="1"/>
      </bottom>
      <diagonal/>
    </border>
    <border>
      <left/>
      <right style="hair">
        <color auto="1"/>
      </right>
      <top style="medium">
        <color auto="1"/>
      </top>
      <bottom style="hair">
        <color auto="1"/>
      </bottom>
      <diagonal/>
    </border>
    <border>
      <left style="medium">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right/>
      <top style="medium">
        <color rgb="FF0000FF"/>
      </top>
      <bottom style="medium">
        <color rgb="FF0000FF"/>
      </bottom>
      <diagonal/>
    </border>
    <border>
      <left/>
      <right style="medium">
        <color auto="1"/>
      </right>
      <top style="medium">
        <color rgb="FF0000FF"/>
      </top>
      <bottom style="medium">
        <color rgb="FF0000FF"/>
      </bottom>
      <diagonal/>
    </border>
    <border>
      <left style="double">
        <color auto="1"/>
      </left>
      <right style="thin">
        <color auto="1"/>
      </right>
      <top style="thin">
        <color auto="1"/>
      </top>
      <bottom style="thin">
        <color auto="1"/>
      </bottom>
      <diagonal/>
    </border>
    <border>
      <left style="thin">
        <color auto="1"/>
      </left>
      <right style="thin">
        <color auto="1"/>
      </right>
      <top style="double">
        <color auto="1"/>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auto="1"/>
      </left>
      <right/>
      <top style="thin">
        <color auto="1"/>
      </top>
      <bottom style="double">
        <color auto="1"/>
      </bottom>
      <diagonal/>
    </border>
    <border>
      <left/>
      <right/>
      <top style="thin">
        <color auto="1"/>
      </top>
      <bottom style="double">
        <color auto="1"/>
      </bottom>
      <diagonal/>
    </border>
    <border>
      <left/>
      <right style="thin">
        <color auto="1"/>
      </right>
      <top style="thin">
        <color auto="1"/>
      </top>
      <bottom style="double">
        <color auto="1"/>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double">
        <color auto="1"/>
      </bottom>
      <diagonal/>
    </border>
    <border>
      <left/>
      <right/>
      <top style="thick">
        <color auto="1"/>
      </top>
      <bottom style="double">
        <color auto="1"/>
      </bottom>
      <diagonal/>
    </border>
    <border>
      <left/>
      <right style="thick">
        <color auto="1"/>
      </right>
      <top style="thick">
        <color auto="1"/>
      </top>
      <bottom style="double">
        <color auto="1"/>
      </bottom>
      <diagonal/>
    </border>
    <border>
      <left style="thin">
        <color auto="1"/>
      </left>
      <right style="thin">
        <color auto="1"/>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indexed="8"/>
      </left>
      <right/>
      <top/>
      <bottom/>
      <diagonal/>
    </border>
    <border>
      <left/>
      <right style="thin">
        <color indexed="8"/>
      </right>
      <top/>
      <bottom/>
      <diagonal/>
    </border>
    <border>
      <left style="thin">
        <color auto="1"/>
      </left>
      <right style="thin">
        <color auto="1"/>
      </right>
      <top style="thin">
        <color auto="1"/>
      </top>
      <bottom style="thin">
        <color auto="1"/>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auto="1"/>
      </left>
      <right style="thin">
        <color auto="1"/>
      </right>
      <top style="thin">
        <color auto="1"/>
      </top>
      <bottom/>
      <diagonal/>
    </border>
    <border>
      <left style="thin">
        <color indexed="64"/>
      </left>
      <right/>
      <top style="thin">
        <color indexed="8"/>
      </top>
      <bottom/>
      <diagonal/>
    </border>
    <border>
      <left/>
      <right style="thin">
        <color indexed="64"/>
      </right>
      <top style="thin">
        <color indexed="8"/>
      </top>
      <bottom/>
      <diagonal/>
    </border>
    <border>
      <left style="thin">
        <color indexed="64"/>
      </left>
      <right style="thin">
        <color indexed="64"/>
      </right>
      <top/>
      <bottom style="thin">
        <color indexed="64"/>
      </bottom>
      <diagonal/>
    </border>
    <border>
      <left style="thin">
        <color auto="1"/>
      </left>
      <right/>
      <top style="thin">
        <color auto="1"/>
      </top>
      <bottom style="double">
        <color auto="1"/>
      </bottom>
      <diagonal/>
    </border>
    <border>
      <left/>
      <right style="thin">
        <color auto="1"/>
      </right>
      <top style="thin">
        <color auto="1"/>
      </top>
      <bottom style="double">
        <color auto="1"/>
      </bottom>
      <diagonal/>
    </border>
    <border>
      <left/>
      <right style="thin">
        <color auto="1"/>
      </right>
      <top style="medium">
        <color auto="1"/>
      </top>
      <bottom style="medium">
        <color auto="1"/>
      </bottom>
      <diagonal/>
    </border>
    <border>
      <left/>
      <right style="thin">
        <color indexed="64"/>
      </right>
      <top/>
      <bottom style="medium">
        <color auto="1"/>
      </bottom>
      <diagonal/>
    </border>
    <border>
      <left/>
      <right style="thin">
        <color auto="1"/>
      </right>
      <top style="medium">
        <color auto="1"/>
      </top>
      <bottom/>
      <diagonal/>
    </border>
    <border>
      <left style="hair">
        <color auto="1"/>
      </left>
      <right/>
      <top style="medium">
        <color auto="1"/>
      </top>
      <bottom style="medium">
        <color rgb="FF0000FF"/>
      </bottom>
      <diagonal/>
    </border>
    <border>
      <left style="hair">
        <color auto="1"/>
      </left>
      <right/>
      <top style="medium">
        <color rgb="FF0000FF"/>
      </top>
      <bottom style="medium">
        <color rgb="FF0000FF"/>
      </bottom>
      <diagonal/>
    </border>
    <border>
      <left style="medium">
        <color auto="1"/>
      </left>
      <right/>
      <top/>
      <bottom style="hair">
        <color auto="1"/>
      </bottom>
      <diagonal/>
    </border>
    <border>
      <left/>
      <right/>
      <top/>
      <bottom style="hair">
        <color auto="1"/>
      </bottom>
      <diagonal/>
    </border>
    <border>
      <left/>
      <right style="hair">
        <color auto="1"/>
      </right>
      <top/>
      <bottom style="hair">
        <color auto="1"/>
      </bottom>
      <diagonal/>
    </border>
  </borders>
  <cellStyleXfs count="79">
    <xf numFmtId="0" fontId="0" fillId="0" borderId="0"/>
    <xf numFmtId="170" fontId="11" fillId="0" borderId="0"/>
    <xf numFmtId="166" fontId="13" fillId="0" borderId="0"/>
    <xf numFmtId="0" fontId="11" fillId="0" borderId="0"/>
    <xf numFmtId="0" fontId="13" fillId="0" borderId="0"/>
    <xf numFmtId="9" fontId="13" fillId="0" borderId="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37" fillId="0" borderId="0"/>
    <xf numFmtId="0" fontId="11" fillId="0" borderId="0"/>
    <xf numFmtId="0" fontId="11" fillId="0" borderId="0"/>
    <xf numFmtId="0" fontId="25" fillId="0" borderId="0" applyNumberFormat="0" applyFill="0" applyBorder="0" applyAlignment="0" applyProtection="0"/>
    <xf numFmtId="0" fontId="10" fillId="0" borderId="0"/>
    <xf numFmtId="0" fontId="40" fillId="0" borderId="0"/>
    <xf numFmtId="0" fontId="9" fillId="0" borderId="0"/>
    <xf numFmtId="0" fontId="2" fillId="0" borderId="0"/>
    <xf numFmtId="9" fontId="2" fillId="0" borderId="0" applyFont="0" applyFill="0" applyBorder="0" applyAlignment="0" applyProtection="0"/>
  </cellStyleXfs>
  <cellXfs count="881">
    <xf numFmtId="0" fontId="0" fillId="0" borderId="0" xfId="0"/>
    <xf numFmtId="0" fontId="11" fillId="0" borderId="0" xfId="3" applyFont="1"/>
    <xf numFmtId="0" fontId="12" fillId="0" borderId="0" xfId="3" applyFont="1"/>
    <xf numFmtId="0" fontId="11" fillId="0" borderId="0" xfId="3"/>
    <xf numFmtId="0" fontId="14" fillId="0" borderId="0" xfId="3" applyFont="1" applyFill="1"/>
    <xf numFmtId="0" fontId="15" fillId="0" borderId="0" xfId="3" applyFont="1"/>
    <xf numFmtId="0" fontId="17" fillId="0" borderId="0" xfId="3" applyFont="1"/>
    <xf numFmtId="0" fontId="19" fillId="0" borderId="0" xfId="3" applyFont="1"/>
    <xf numFmtId="2" fontId="11" fillId="0" borderId="0" xfId="3" applyNumberFormat="1" applyAlignment="1">
      <alignment horizontal="left"/>
    </xf>
    <xf numFmtId="0" fontId="24" fillId="0" borderId="0" xfId="3" applyFont="1"/>
    <xf numFmtId="0" fontId="22" fillId="0" borderId="0" xfId="3" applyFont="1"/>
    <xf numFmtId="167" fontId="22" fillId="0" borderId="0" xfId="3" applyNumberFormat="1" applyFont="1"/>
    <xf numFmtId="164" fontId="12" fillId="0" borderId="0" xfId="3" applyNumberFormat="1" applyFont="1"/>
    <xf numFmtId="9" fontId="23" fillId="0" borderId="0" xfId="5" applyNumberFormat="1" applyFont="1" applyAlignment="1">
      <alignment horizontal="left"/>
    </xf>
    <xf numFmtId="0" fontId="29" fillId="0" borderId="0" xfId="0" applyFont="1"/>
    <xf numFmtId="166" fontId="28" fillId="5" borderId="0" xfId="2" applyFont="1" applyFill="1" applyAlignment="1">
      <alignment horizontal="center"/>
    </xf>
    <xf numFmtId="0" fontId="28" fillId="5" borderId="0" xfId="0" applyFont="1" applyFill="1"/>
    <xf numFmtId="166" fontId="29" fillId="0" borderId="0" xfId="2" applyFont="1" applyAlignment="1">
      <alignment horizontal="center"/>
    </xf>
    <xf numFmtId="44" fontId="29" fillId="0" borderId="0" xfId="0" applyNumberFormat="1" applyFont="1"/>
    <xf numFmtId="0" fontId="30" fillId="5" borderId="0" xfId="0" applyFont="1" applyFill="1"/>
    <xf numFmtId="0" fontId="29" fillId="0" borderId="2" xfId="0" applyFont="1" applyBorder="1"/>
    <xf numFmtId="10" fontId="29" fillId="0" borderId="0" xfId="0" applyNumberFormat="1" applyFont="1"/>
    <xf numFmtId="0" fontId="31" fillId="0" borderId="0" xfId="4" applyFont="1" applyAlignment="1">
      <alignment horizontal="center" wrapText="1"/>
    </xf>
    <xf numFmtId="0" fontId="31" fillId="0" borderId="0" xfId="4" applyFont="1" applyAlignment="1">
      <alignment horizontal="center"/>
    </xf>
    <xf numFmtId="0" fontId="32" fillId="0" borderId="0" xfId="4" applyFont="1"/>
    <xf numFmtId="168" fontId="32" fillId="0" borderId="0" xfId="4" applyNumberFormat="1" applyFont="1" applyAlignment="1">
      <alignment horizontal="center"/>
    </xf>
    <xf numFmtId="0" fontId="29" fillId="0" borderId="0" xfId="3" applyFont="1"/>
    <xf numFmtId="0" fontId="32" fillId="0" borderId="0" xfId="4" applyFont="1" applyFill="1"/>
    <xf numFmtId="0" fontId="29" fillId="0" borderId="0" xfId="3" applyFont="1" applyAlignment="1">
      <alignment horizontal="right"/>
    </xf>
    <xf numFmtId="164" fontId="29" fillId="0" borderId="0" xfId="3" applyNumberFormat="1" applyFont="1"/>
    <xf numFmtId="0" fontId="32" fillId="0" borderId="0" xfId="4" applyFont="1" applyBorder="1"/>
    <xf numFmtId="0" fontId="29" fillId="0" borderId="12" xfId="3" applyFont="1" applyBorder="1"/>
    <xf numFmtId="0" fontId="29" fillId="0" borderId="0" xfId="3" applyFont="1" applyBorder="1"/>
    <xf numFmtId="165" fontId="29" fillId="0" borderId="0" xfId="3" applyNumberFormat="1" applyFont="1" applyBorder="1" applyAlignment="1">
      <alignment horizontal="right"/>
    </xf>
    <xf numFmtId="165" fontId="29" fillId="0" borderId="0" xfId="3" applyNumberFormat="1" applyFont="1" applyAlignment="1">
      <alignment horizontal="right"/>
    </xf>
    <xf numFmtId="164" fontId="29" fillId="0" borderId="0" xfId="3" applyNumberFormat="1" applyFont="1" applyAlignment="1">
      <alignment horizontal="center"/>
    </xf>
    <xf numFmtId="0" fontId="30" fillId="0" borderId="0" xfId="3" applyFont="1"/>
    <xf numFmtId="165" fontId="29" fillId="0" borderId="0" xfId="3" applyNumberFormat="1" applyFont="1" applyFill="1" applyAlignment="1">
      <alignment horizontal="right"/>
    </xf>
    <xf numFmtId="171" fontId="29" fillId="0" borderId="0" xfId="1" applyNumberFormat="1" applyFont="1" applyFill="1"/>
    <xf numFmtId="1" fontId="29" fillId="0" borderId="0" xfId="3" applyNumberFormat="1" applyFont="1" applyFill="1"/>
    <xf numFmtId="0" fontId="29" fillId="0" borderId="2" xfId="3" applyFont="1" applyBorder="1"/>
    <xf numFmtId="169" fontId="32" fillId="0" borderId="2" xfId="2" applyNumberFormat="1" applyFont="1" applyBorder="1"/>
    <xf numFmtId="164" fontId="29" fillId="0" borderId="0" xfId="3" applyNumberFormat="1" applyFont="1" applyFill="1"/>
    <xf numFmtId="169" fontId="32" fillId="0" borderId="0" xfId="2" applyNumberFormat="1" applyFont="1" applyFill="1"/>
    <xf numFmtId="165" fontId="29" fillId="0" borderId="2" xfId="3" applyNumberFormat="1" applyFont="1" applyBorder="1" applyAlignment="1">
      <alignment horizontal="right"/>
    </xf>
    <xf numFmtId="169" fontId="32" fillId="0" borderId="2" xfId="2" applyNumberFormat="1" applyFont="1" applyFill="1" applyBorder="1"/>
    <xf numFmtId="165" fontId="30" fillId="0" borderId="0" xfId="3" applyNumberFormat="1" applyFont="1" applyAlignment="1">
      <alignment horizontal="right"/>
    </xf>
    <xf numFmtId="164" fontId="30" fillId="0" borderId="0" xfId="3" applyNumberFormat="1" applyFont="1"/>
    <xf numFmtId="0" fontId="29" fillId="0" borderId="0" xfId="3" applyNumberFormat="1" applyFont="1"/>
    <xf numFmtId="164" fontId="29" fillId="0" borderId="2" xfId="3" applyNumberFormat="1" applyFont="1" applyBorder="1"/>
    <xf numFmtId="164" fontId="30" fillId="0" borderId="0" xfId="3" applyNumberFormat="1" applyFont="1" applyAlignment="1">
      <alignment horizontal="right"/>
    </xf>
    <xf numFmtId="169" fontId="31" fillId="0" borderId="0" xfId="2" applyNumberFormat="1" applyFont="1"/>
    <xf numFmtId="43" fontId="29" fillId="0" borderId="0" xfId="0" applyNumberFormat="1" applyFont="1"/>
    <xf numFmtId="0" fontId="29" fillId="0" borderId="0" xfId="0" applyFont="1"/>
    <xf numFmtId="178" fontId="29" fillId="0" borderId="0" xfId="0" applyNumberFormat="1" applyFont="1"/>
    <xf numFmtId="0" fontId="32" fillId="0" borderId="0" xfId="4" applyFont="1"/>
    <xf numFmtId="168" fontId="32" fillId="0" borderId="0" xfId="4" applyNumberFormat="1" applyFont="1" applyAlignment="1">
      <alignment horizontal="center"/>
    </xf>
    <xf numFmtId="0" fontId="29" fillId="0" borderId="0" xfId="3" applyFont="1"/>
    <xf numFmtId="0" fontId="32" fillId="0" borderId="0" xfId="4" applyFont="1" applyFill="1"/>
    <xf numFmtId="165" fontId="29" fillId="0" borderId="0" xfId="3" applyNumberFormat="1" applyFont="1"/>
    <xf numFmtId="169" fontId="32" fillId="0" borderId="0" xfId="2" applyNumberFormat="1" applyFont="1"/>
    <xf numFmtId="177" fontId="29" fillId="0" borderId="0" xfId="3" applyNumberFormat="1" applyFont="1" applyFill="1" applyAlignment="1">
      <alignment horizontal="right"/>
    </xf>
    <xf numFmtId="169" fontId="32" fillId="0" borderId="0" xfId="2" applyNumberFormat="1" applyFont="1" applyBorder="1"/>
    <xf numFmtId="0" fontId="29" fillId="0" borderId="0" xfId="0" applyFont="1" applyBorder="1"/>
    <xf numFmtId="0" fontId="29" fillId="0" borderId="11" xfId="0" applyFont="1" applyBorder="1"/>
    <xf numFmtId="0" fontId="29" fillId="0" borderId="17" xfId="0" applyFont="1" applyBorder="1"/>
    <xf numFmtId="0" fontId="30" fillId="0" borderId="22" xfId="0" applyFont="1" applyBorder="1" applyAlignment="1">
      <alignment horizontal="center"/>
    </xf>
    <xf numFmtId="0" fontId="30" fillId="0" borderId="23" xfId="0" applyFont="1" applyBorder="1" applyAlignment="1">
      <alignment horizontal="center"/>
    </xf>
    <xf numFmtId="0" fontId="29" fillId="0" borderId="12" xfId="0" applyFont="1" applyBorder="1"/>
    <xf numFmtId="180" fontId="29" fillId="0" borderId="11" xfId="0" applyNumberFormat="1" applyFont="1" applyBorder="1"/>
    <xf numFmtId="179" fontId="29" fillId="0" borderId="11" xfId="0" applyNumberFormat="1" applyFont="1" applyFill="1" applyBorder="1"/>
    <xf numFmtId="178" fontId="29" fillId="0" borderId="11" xfId="0" applyNumberFormat="1" applyFont="1" applyBorder="1"/>
    <xf numFmtId="0" fontId="29" fillId="0" borderId="16" xfId="0" applyFont="1" applyBorder="1"/>
    <xf numFmtId="0" fontId="30" fillId="0" borderId="0" xfId="3" applyFont="1" applyAlignment="1">
      <alignment horizontal="right"/>
    </xf>
    <xf numFmtId="164" fontId="32" fillId="0" borderId="0" xfId="5" applyNumberFormat="1" applyFont="1" applyBorder="1"/>
    <xf numFmtId="178" fontId="29" fillId="0" borderId="11" xfId="0" applyNumberFormat="1" applyFont="1" applyFill="1" applyBorder="1"/>
    <xf numFmtId="0" fontId="28" fillId="5" borderId="0" xfId="0" applyFont="1" applyFill="1" applyAlignment="1">
      <alignment horizontal="center"/>
    </xf>
    <xf numFmtId="0" fontId="29" fillId="0" borderId="0" xfId="0" applyNumberFormat="1" applyFont="1"/>
    <xf numFmtId="10" fontId="34" fillId="0" borderId="0" xfId="0" applyNumberFormat="1" applyFont="1" applyFill="1"/>
    <xf numFmtId="181" fontId="29" fillId="0" borderId="0" xfId="3" applyNumberFormat="1" applyFont="1" applyAlignment="1">
      <alignment horizontal="right"/>
    </xf>
    <xf numFmtId="10" fontId="29" fillId="0" borderId="0" xfId="3" applyNumberFormat="1" applyFont="1" applyAlignment="1">
      <alignment horizontal="right"/>
    </xf>
    <xf numFmtId="0" fontId="29" fillId="4" borderId="0" xfId="0" applyFont="1" applyFill="1" applyAlignment="1">
      <alignment horizontal="right"/>
    </xf>
    <xf numFmtId="164" fontId="29" fillId="0" borderId="0" xfId="3" applyNumberFormat="1" applyFont="1" applyBorder="1"/>
    <xf numFmtId="1" fontId="29" fillId="0" borderId="0" xfId="3" applyNumberFormat="1" applyFont="1" applyFill="1" applyBorder="1" applyAlignment="1">
      <alignment horizontal="right"/>
    </xf>
    <xf numFmtId="0" fontId="30" fillId="0" borderId="0" xfId="3" applyFont="1" applyAlignment="1"/>
    <xf numFmtId="0" fontId="38" fillId="0" borderId="0" xfId="73" applyFont="1" applyAlignment="1"/>
    <xf numFmtId="0" fontId="29" fillId="0" borderId="0" xfId="3" applyFont="1" applyAlignment="1"/>
    <xf numFmtId="0" fontId="30" fillId="0" borderId="0" xfId="3" applyFont="1" applyBorder="1" applyAlignment="1">
      <alignment wrapText="1"/>
    </xf>
    <xf numFmtId="0" fontId="30" fillId="0" borderId="0" xfId="3" applyFont="1" applyAlignment="1">
      <alignment horizontal="center" wrapText="1"/>
    </xf>
    <xf numFmtId="0" fontId="30" fillId="0" borderId="0" xfId="3" applyFont="1" applyAlignment="1">
      <alignment wrapText="1"/>
    </xf>
    <xf numFmtId="0" fontId="30" fillId="0" borderId="0" xfId="3" applyFont="1" applyAlignment="1">
      <alignment horizontal="center"/>
    </xf>
    <xf numFmtId="176" fontId="29" fillId="0" borderId="0" xfId="3" applyNumberFormat="1" applyFont="1" applyAlignment="1">
      <alignment wrapText="1"/>
    </xf>
    <xf numFmtId="0" fontId="29" fillId="0" borderId="0" xfId="3" applyFont="1" applyAlignment="1">
      <alignment wrapText="1"/>
    </xf>
    <xf numFmtId="0" fontId="30" fillId="0" borderId="0" xfId="3" applyFont="1" applyAlignment="1">
      <alignment horizontal="left"/>
    </xf>
    <xf numFmtId="0" fontId="29" fillId="0" borderId="0" xfId="0" applyFont="1" applyAlignment="1">
      <alignment wrapText="1"/>
    </xf>
    <xf numFmtId="179" fontId="29" fillId="0" borderId="11" xfId="0" applyNumberFormat="1" applyFont="1" applyBorder="1"/>
    <xf numFmtId="10" fontId="29" fillId="0" borderId="11" xfId="0" applyNumberFormat="1" applyFont="1" applyFill="1" applyBorder="1"/>
    <xf numFmtId="177" fontId="29" fillId="0" borderId="11" xfId="3" applyNumberFormat="1" applyFont="1" applyFill="1" applyBorder="1" applyAlignment="1">
      <alignment horizontal="right"/>
    </xf>
    <xf numFmtId="0" fontId="29" fillId="0" borderId="0" xfId="0" applyFont="1" applyProtection="1">
      <protection locked="0"/>
    </xf>
    <xf numFmtId="0" fontId="30" fillId="0" borderId="0" xfId="0" applyFont="1" applyProtection="1">
      <protection locked="0"/>
    </xf>
    <xf numFmtId="182" fontId="30" fillId="0" borderId="24" xfId="0" applyNumberFormat="1" applyFont="1" applyBorder="1" applyProtection="1">
      <protection locked="0"/>
    </xf>
    <xf numFmtId="182" fontId="30" fillId="0" borderId="18" xfId="0" applyNumberFormat="1" applyFont="1" applyBorder="1" applyProtection="1">
      <protection locked="0"/>
    </xf>
    <xf numFmtId="182" fontId="34" fillId="6" borderId="0" xfId="0" applyNumberFormat="1" applyFont="1" applyFill="1" applyProtection="1">
      <protection locked="0"/>
    </xf>
    <xf numFmtId="182" fontId="29" fillId="0" borderId="0" xfId="0" applyNumberFormat="1" applyFont="1" applyBorder="1" applyProtection="1">
      <protection locked="0"/>
    </xf>
    <xf numFmtId="0" fontId="29" fillId="0" borderId="12" xfId="0" applyFont="1" applyBorder="1" applyProtection="1">
      <protection locked="0"/>
    </xf>
    <xf numFmtId="0" fontId="34" fillId="6" borderId="2" xfId="0" applyFont="1" applyFill="1" applyBorder="1" applyProtection="1">
      <protection locked="0"/>
    </xf>
    <xf numFmtId="165" fontId="29" fillId="0" borderId="0" xfId="3" applyNumberFormat="1" applyFont="1" applyFill="1" applyAlignment="1" applyProtection="1">
      <alignment horizontal="right"/>
    </xf>
    <xf numFmtId="1" fontId="29" fillId="0" borderId="0" xfId="3" applyNumberFormat="1" applyFont="1" applyFill="1" applyBorder="1"/>
    <xf numFmtId="2" fontId="29" fillId="0" borderId="0" xfId="3" applyNumberFormat="1" applyFont="1" applyFill="1" applyBorder="1" applyAlignment="1">
      <alignment horizontal="right"/>
    </xf>
    <xf numFmtId="1" fontId="30" fillId="0" borderId="0" xfId="3" applyNumberFormat="1" applyFont="1" applyFill="1" applyBorder="1" applyAlignment="1">
      <alignment horizontal="right"/>
    </xf>
    <xf numFmtId="182" fontId="29" fillId="0" borderId="0" xfId="3" applyNumberFormat="1" applyFont="1" applyFill="1"/>
    <xf numFmtId="164" fontId="29" fillId="0" borderId="0" xfId="0" applyNumberFormat="1" applyFont="1" applyBorder="1"/>
    <xf numFmtId="178" fontId="29" fillId="0" borderId="0" xfId="0" applyNumberFormat="1" applyFont="1" applyFill="1" applyBorder="1"/>
    <xf numFmtId="167" fontId="23" fillId="0" borderId="0" xfId="5" applyNumberFormat="1" applyFont="1" applyAlignment="1"/>
    <xf numFmtId="181" fontId="17" fillId="0" borderId="0" xfId="3" applyNumberFormat="1" applyFont="1"/>
    <xf numFmtId="2" fontId="32" fillId="0" borderId="26" xfId="4" applyNumberFormat="1" applyFont="1" applyFill="1" applyBorder="1" applyAlignment="1"/>
    <xf numFmtId="0" fontId="29" fillId="0" borderId="0" xfId="3" applyFont="1" applyFill="1" applyAlignment="1">
      <alignment horizontal="center"/>
    </xf>
    <xf numFmtId="0" fontId="29" fillId="0" borderId="0" xfId="3" applyFont="1" applyFill="1" applyBorder="1" applyAlignment="1">
      <alignment horizontal="center"/>
    </xf>
    <xf numFmtId="3" fontId="31" fillId="0" borderId="0" xfId="4" applyNumberFormat="1" applyFont="1" applyFill="1" applyBorder="1" applyAlignment="1">
      <alignment horizontal="center"/>
    </xf>
    <xf numFmtId="3" fontId="31" fillId="0" borderId="0" xfId="4" applyNumberFormat="1" applyFont="1" applyFill="1" applyAlignment="1">
      <alignment horizontal="center"/>
    </xf>
    <xf numFmtId="0" fontId="31" fillId="0" borderId="28" xfId="4" applyFont="1" applyFill="1" applyBorder="1" applyAlignment="1">
      <alignment horizontal="center" wrapText="1"/>
    </xf>
    <xf numFmtId="0" fontId="31" fillId="0" borderId="29" xfId="4" applyFont="1" applyFill="1" applyBorder="1" applyAlignment="1">
      <alignment horizontal="center" wrapText="1"/>
    </xf>
    <xf numFmtId="0" fontId="31" fillId="0" borderId="30" xfId="4" applyFont="1" applyFill="1" applyBorder="1" applyAlignment="1">
      <alignment horizontal="center" wrapText="1"/>
    </xf>
    <xf numFmtId="0" fontId="31" fillId="0" borderId="16" xfId="4" applyFont="1" applyFill="1" applyBorder="1" applyAlignment="1">
      <alignment horizontal="center"/>
    </xf>
    <xf numFmtId="0" fontId="31" fillId="0" borderId="2" xfId="4" applyFont="1" applyFill="1" applyBorder="1" applyAlignment="1">
      <alignment horizontal="center"/>
    </xf>
    <xf numFmtId="0" fontId="31" fillId="0" borderId="17" xfId="4" applyFont="1" applyFill="1" applyBorder="1" applyAlignment="1">
      <alignment horizontal="center"/>
    </xf>
    <xf numFmtId="171" fontId="29" fillId="0" borderId="26" xfId="1" applyNumberFormat="1" applyFont="1" applyFill="1" applyBorder="1" applyAlignment="1" applyProtection="1">
      <alignment horizontal="center"/>
    </xf>
    <xf numFmtId="171" fontId="29" fillId="0" borderId="27" xfId="1" applyNumberFormat="1" applyFont="1" applyFill="1" applyBorder="1" applyAlignment="1" applyProtection="1">
      <alignment horizontal="center"/>
    </xf>
    <xf numFmtId="171" fontId="29" fillId="0" borderId="12" xfId="1" applyNumberFormat="1" applyFont="1" applyFill="1" applyBorder="1" applyAlignment="1" applyProtection="1">
      <alignment horizontal="center"/>
    </xf>
    <xf numFmtId="171" fontId="29" fillId="0" borderId="11" xfId="1" applyNumberFormat="1" applyFont="1" applyFill="1" applyBorder="1" applyAlignment="1" applyProtection="1">
      <alignment horizontal="center"/>
    </xf>
    <xf numFmtId="171" fontId="29" fillId="0" borderId="16" xfId="1" applyNumberFormat="1" applyFont="1" applyFill="1" applyBorder="1" applyAlignment="1" applyProtection="1">
      <alignment horizontal="center"/>
    </xf>
    <xf numFmtId="171" fontId="29" fillId="0" borderId="17" xfId="1" applyNumberFormat="1" applyFont="1" applyFill="1" applyBorder="1" applyAlignment="1" applyProtection="1">
      <alignment horizontal="center"/>
    </xf>
    <xf numFmtId="3" fontId="32" fillId="0" borderId="0" xfId="4" applyNumberFormat="1" applyFont="1" applyFill="1" applyBorder="1" applyAlignment="1">
      <alignment horizontal="center"/>
    </xf>
    <xf numFmtId="177" fontId="29" fillId="0" borderId="0" xfId="3" applyNumberFormat="1" applyFont="1" applyFill="1" applyBorder="1" applyAlignment="1" applyProtection="1">
      <alignment horizontal="right"/>
    </xf>
    <xf numFmtId="179" fontId="29" fillId="0" borderId="0" xfId="0" applyNumberFormat="1" applyFont="1" applyBorder="1" applyProtection="1"/>
    <xf numFmtId="164" fontId="29" fillId="0" borderId="0" xfId="0" applyNumberFormat="1" applyFont="1" applyBorder="1" applyProtection="1"/>
    <xf numFmtId="0" fontId="30" fillId="7" borderId="31" xfId="0" applyFont="1" applyFill="1" applyBorder="1" applyAlignment="1" applyProtection="1">
      <alignment horizontal="center"/>
      <protection locked="0"/>
    </xf>
    <xf numFmtId="0" fontId="32" fillId="0" borderId="0" xfId="4" applyFont="1" applyFill="1" applyBorder="1" applyAlignment="1">
      <alignment horizontal="center" wrapText="1"/>
    </xf>
    <xf numFmtId="0" fontId="32" fillId="0" borderId="12" xfId="4" applyFont="1" applyFill="1" applyBorder="1" applyAlignment="1">
      <alignment horizontal="center" wrapText="1"/>
    </xf>
    <xf numFmtId="0" fontId="32" fillId="0" borderId="11" xfId="4" applyFont="1" applyFill="1" applyBorder="1" applyAlignment="1">
      <alignment horizontal="center" wrapText="1"/>
    </xf>
    <xf numFmtId="168" fontId="32" fillId="0" borderId="0" xfId="4" applyNumberFormat="1" applyFont="1" applyFill="1" applyBorder="1" applyAlignment="1">
      <alignment horizontal="center" wrapText="1"/>
    </xf>
    <xf numFmtId="168" fontId="32" fillId="0" borderId="12" xfId="4" applyNumberFormat="1" applyFont="1" applyFill="1" applyBorder="1" applyAlignment="1">
      <alignment horizontal="center" wrapText="1"/>
    </xf>
    <xf numFmtId="168" fontId="32" fillId="0" borderId="0" xfId="4" applyNumberFormat="1" applyFont="1" applyFill="1" applyAlignment="1">
      <alignment horizontal="center" wrapText="1"/>
    </xf>
    <xf numFmtId="0" fontId="32" fillId="0" borderId="0" xfId="4" applyFont="1" applyFill="1" applyAlignment="1">
      <alignment horizontal="center" wrapText="1"/>
    </xf>
    <xf numFmtId="164" fontId="32" fillId="0" borderId="17" xfId="4" applyNumberFormat="1" applyFont="1" applyFill="1" applyBorder="1"/>
    <xf numFmtId="167" fontId="32" fillId="0" borderId="17" xfId="4" applyNumberFormat="1" applyFont="1" applyFill="1" applyBorder="1"/>
    <xf numFmtId="167" fontId="32" fillId="0" borderId="2" xfId="4" applyNumberFormat="1" applyFont="1" applyFill="1" applyBorder="1"/>
    <xf numFmtId="167" fontId="32" fillId="0" borderId="16" xfId="4" applyNumberFormat="1" applyFont="1" applyFill="1" applyBorder="1"/>
    <xf numFmtId="164" fontId="32" fillId="0" borderId="2" xfId="5" applyNumberFormat="1" applyFont="1" applyFill="1" applyBorder="1"/>
    <xf numFmtId="42" fontId="32" fillId="0" borderId="17" xfId="4" applyNumberFormat="1" applyFont="1" applyFill="1" applyBorder="1"/>
    <xf numFmtId="42" fontId="32" fillId="0" borderId="2" xfId="4" applyNumberFormat="1" applyFont="1" applyFill="1" applyBorder="1"/>
    <xf numFmtId="2" fontId="32" fillId="0" borderId="16" xfId="4" applyNumberFormat="1" applyFont="1" applyFill="1" applyBorder="1" applyAlignment="1"/>
    <xf numFmtId="164" fontId="32" fillId="0" borderId="11" xfId="4" applyNumberFormat="1" applyFont="1" applyFill="1" applyBorder="1"/>
    <xf numFmtId="167" fontId="32" fillId="0" borderId="11" xfId="4" applyNumberFormat="1" applyFont="1" applyFill="1" applyBorder="1"/>
    <xf numFmtId="167" fontId="32" fillId="0" borderId="0" xfId="4" applyNumberFormat="1" applyFont="1" applyFill="1" applyBorder="1"/>
    <xf numFmtId="167" fontId="32" fillId="0" borderId="12" xfId="4" applyNumberFormat="1" applyFont="1" applyFill="1" applyBorder="1"/>
    <xf numFmtId="164" fontId="32" fillId="0" borderId="0" xfId="5" applyNumberFormat="1" applyFont="1" applyFill="1" applyBorder="1"/>
    <xf numFmtId="42" fontId="32" fillId="0" borderId="11" xfId="4" applyNumberFormat="1" applyFont="1" applyFill="1" applyBorder="1"/>
    <xf numFmtId="42" fontId="32" fillId="0" borderId="0" xfId="4" applyNumberFormat="1" applyFont="1" applyFill="1" applyBorder="1"/>
    <xf numFmtId="2" fontId="32" fillId="0" borderId="12" xfId="4" applyNumberFormat="1" applyFont="1" applyFill="1" applyBorder="1" applyAlignment="1"/>
    <xf numFmtId="164" fontId="32" fillId="0" borderId="27" xfId="4" applyNumberFormat="1" applyFont="1" applyFill="1" applyBorder="1"/>
    <xf numFmtId="167" fontId="32" fillId="0" borderId="27" xfId="4" applyNumberFormat="1" applyFont="1" applyFill="1" applyBorder="1"/>
    <xf numFmtId="167" fontId="32" fillId="0" borderId="25" xfId="4" applyNumberFormat="1" applyFont="1" applyFill="1" applyBorder="1"/>
    <xf numFmtId="167" fontId="32" fillId="0" borderId="26" xfId="4" applyNumberFormat="1" applyFont="1" applyFill="1" applyBorder="1"/>
    <xf numFmtId="164" fontId="32" fillId="0" borderId="25" xfId="5" applyNumberFormat="1" applyFont="1" applyFill="1" applyBorder="1"/>
    <xf numFmtId="42" fontId="32" fillId="0" borderId="27" xfId="4" applyNumberFormat="1" applyFont="1" applyFill="1" applyBorder="1"/>
    <xf numFmtId="42" fontId="32" fillId="0" borderId="25" xfId="4" applyNumberFormat="1" applyFont="1" applyFill="1" applyBorder="1"/>
    <xf numFmtId="168" fontId="31" fillId="0" borderId="2" xfId="4" applyNumberFormat="1" applyFont="1" applyFill="1" applyBorder="1" applyAlignment="1">
      <alignment horizontal="center"/>
    </xf>
    <xf numFmtId="168" fontId="31" fillId="0" borderId="16" xfId="4" applyNumberFormat="1" applyFont="1" applyFill="1" applyBorder="1" applyAlignment="1">
      <alignment horizontal="center"/>
    </xf>
    <xf numFmtId="168" fontId="31" fillId="0" borderId="0" xfId="4" applyNumberFormat="1" applyFont="1" applyFill="1" applyAlignment="1">
      <alignment horizontal="center"/>
    </xf>
    <xf numFmtId="0" fontId="31" fillId="0" borderId="11" xfId="4" applyFont="1" applyFill="1" applyBorder="1" applyAlignment="1">
      <alignment horizontal="center" wrapText="1"/>
    </xf>
    <xf numFmtId="168" fontId="31" fillId="0" borderId="0" xfId="4" applyNumberFormat="1" applyFont="1" applyFill="1" applyBorder="1" applyAlignment="1">
      <alignment horizontal="center" wrapText="1"/>
    </xf>
    <xf numFmtId="168" fontId="31" fillId="0" borderId="12" xfId="4" applyNumberFormat="1" applyFont="1" applyFill="1" applyBorder="1" applyAlignment="1">
      <alignment horizontal="center" wrapText="1"/>
    </xf>
    <xf numFmtId="168" fontId="31" fillId="0" borderId="0" xfId="4" applyNumberFormat="1" applyFont="1" applyFill="1" applyAlignment="1">
      <alignment horizontal="center" wrapText="1"/>
    </xf>
    <xf numFmtId="10" fontId="29" fillId="0" borderId="11" xfId="0" applyNumberFormat="1" applyFont="1" applyBorder="1"/>
    <xf numFmtId="0" fontId="29" fillId="0" borderId="34" xfId="0" applyFont="1" applyBorder="1"/>
    <xf numFmtId="0" fontId="29" fillId="0" borderId="33" xfId="0" applyFont="1" applyBorder="1"/>
    <xf numFmtId="0" fontId="29" fillId="0" borderId="32" xfId="0" applyFont="1" applyBorder="1"/>
    <xf numFmtId="3" fontId="29" fillId="0" borderId="0" xfId="0" applyNumberFormat="1" applyFont="1"/>
    <xf numFmtId="0" fontId="29" fillId="0" borderId="0" xfId="0" applyFont="1"/>
    <xf numFmtId="0" fontId="28" fillId="5" borderId="0" xfId="0" applyFont="1" applyFill="1"/>
    <xf numFmtId="0" fontId="30" fillId="5" borderId="0" xfId="0" applyFont="1" applyFill="1"/>
    <xf numFmtId="0" fontId="31" fillId="0" borderId="0" xfId="4" applyFont="1" applyAlignment="1">
      <alignment horizontal="center" wrapText="1"/>
    </xf>
    <xf numFmtId="0" fontId="31" fillId="0" borderId="0" xfId="4" applyFont="1" applyFill="1" applyAlignment="1">
      <alignment horizontal="center" wrapText="1"/>
    </xf>
    <xf numFmtId="0" fontId="31" fillId="0" borderId="0" xfId="4" applyFont="1" applyFill="1" applyAlignment="1">
      <alignment horizontal="center"/>
    </xf>
    <xf numFmtId="171" fontId="29" fillId="0" borderId="0" xfId="1" applyNumberFormat="1" applyFont="1" applyFill="1" applyBorder="1" applyAlignment="1" applyProtection="1">
      <alignment horizontal="center"/>
    </xf>
    <xf numFmtId="0" fontId="32" fillId="0" borderId="0" xfId="4" applyFont="1" applyFill="1"/>
    <xf numFmtId="167" fontId="32" fillId="0" borderId="0" xfId="4" applyNumberFormat="1" applyFont="1" applyFill="1"/>
    <xf numFmtId="166" fontId="32" fillId="0" borderId="0" xfId="2" applyNumberFormat="1" applyFont="1" applyFill="1"/>
    <xf numFmtId="14" fontId="32" fillId="0" borderId="0" xfId="4" applyNumberFormat="1" applyFont="1" applyFill="1"/>
    <xf numFmtId="0" fontId="32" fillId="0" borderId="0" xfId="4" applyNumberFormat="1" applyFont="1" applyFill="1"/>
    <xf numFmtId="164" fontId="32" fillId="0" borderId="0" xfId="5" applyNumberFormat="1" applyFont="1" applyFill="1"/>
    <xf numFmtId="0" fontId="29" fillId="0" borderId="0" xfId="0" applyFont="1" applyBorder="1" applyProtection="1"/>
    <xf numFmtId="0" fontId="29" fillId="0" borderId="2" xfId="0" applyFont="1" applyBorder="1" applyProtection="1"/>
    <xf numFmtId="0" fontId="29" fillId="0" borderId="11" xfId="0" applyFont="1" applyBorder="1" applyProtection="1"/>
    <xf numFmtId="182" fontId="29" fillId="0" borderId="0" xfId="0" applyNumberFormat="1" applyFont="1" applyFill="1" applyBorder="1" applyProtection="1"/>
    <xf numFmtId="182" fontId="29" fillId="0" borderId="2" xfId="0" applyNumberFormat="1" applyFont="1" applyFill="1" applyBorder="1" applyProtection="1"/>
    <xf numFmtId="0" fontId="34" fillId="6" borderId="0" xfId="0" applyFont="1" applyFill="1" applyBorder="1" applyProtection="1">
      <protection locked="0"/>
    </xf>
    <xf numFmtId="0" fontId="29" fillId="0" borderId="0" xfId="0" applyFont="1" applyFill="1" applyBorder="1" applyProtection="1"/>
    <xf numFmtId="0" fontId="30" fillId="0" borderId="18" xfId="0" applyFont="1" applyBorder="1" applyAlignment="1">
      <alignment horizontal="center"/>
    </xf>
    <xf numFmtId="0" fontId="29" fillId="0" borderId="0" xfId="0" applyFont="1" applyProtection="1"/>
    <xf numFmtId="49" fontId="29" fillId="0" borderId="11" xfId="0" applyNumberFormat="1" applyFont="1" applyBorder="1"/>
    <xf numFmtId="0" fontId="29" fillId="0" borderId="38" xfId="0" applyFont="1" applyBorder="1"/>
    <xf numFmtId="0" fontId="29" fillId="0" borderId="39" xfId="0" applyFont="1" applyBorder="1"/>
    <xf numFmtId="0" fontId="10" fillId="0" borderId="0" xfId="74"/>
    <xf numFmtId="0" fontId="28" fillId="0" borderId="0" xfId="74" applyFont="1"/>
    <xf numFmtId="0" fontId="30" fillId="0" borderId="0" xfId="3" applyFont="1" applyBorder="1" applyAlignment="1"/>
    <xf numFmtId="182" fontId="10" fillId="0" borderId="0" xfId="74" applyNumberFormat="1"/>
    <xf numFmtId="0" fontId="32" fillId="0" borderId="0" xfId="4" applyFont="1" applyAlignment="1">
      <alignment horizontal="center"/>
    </xf>
    <xf numFmtId="0" fontId="31" fillId="0" borderId="12" xfId="4" applyFont="1" applyBorder="1" applyAlignment="1">
      <alignment horizontal="center" wrapText="1"/>
    </xf>
    <xf numFmtId="0" fontId="31" fillId="0" borderId="0" xfId="4" applyFont="1" applyBorder="1" applyAlignment="1">
      <alignment horizontal="center" wrapText="1"/>
    </xf>
    <xf numFmtId="0" fontId="31" fillId="0" borderId="11" xfId="4" applyFont="1" applyBorder="1" applyAlignment="1">
      <alignment horizontal="center" wrapText="1"/>
    </xf>
    <xf numFmtId="0" fontId="32" fillId="0" borderId="12" xfId="4" applyFont="1" applyBorder="1" applyAlignment="1">
      <alignment horizontal="center" wrapText="1"/>
    </xf>
    <xf numFmtId="0" fontId="32" fillId="0" borderId="0" xfId="4" applyFont="1" applyBorder="1" applyAlignment="1">
      <alignment horizontal="center" wrapText="1"/>
    </xf>
    <xf numFmtId="0" fontId="32" fillId="0" borderId="11" xfId="4" applyFont="1" applyBorder="1" applyAlignment="1">
      <alignment horizontal="center" wrapText="1"/>
    </xf>
    <xf numFmtId="0" fontId="32" fillId="0" borderId="16" xfId="4" applyFont="1" applyBorder="1" applyAlignment="1">
      <alignment horizontal="center" wrapText="1"/>
    </xf>
    <xf numFmtId="0" fontId="32" fillId="0" borderId="2" xfId="4" applyFont="1" applyBorder="1" applyAlignment="1">
      <alignment horizontal="center" wrapText="1"/>
    </xf>
    <xf numFmtId="0" fontId="32" fillId="0" borderId="17" xfId="4" applyFont="1" applyBorder="1" applyAlignment="1">
      <alignment horizontal="center" wrapText="1"/>
    </xf>
    <xf numFmtId="0" fontId="29" fillId="0" borderId="25" xfId="3" applyFont="1" applyBorder="1"/>
    <xf numFmtId="0" fontId="29" fillId="0" borderId="27" xfId="3" applyFont="1" applyBorder="1"/>
    <xf numFmtId="0" fontId="29" fillId="0" borderId="11" xfId="3" applyFont="1" applyBorder="1"/>
    <xf numFmtId="0" fontId="29" fillId="0" borderId="17" xfId="3" applyFont="1" applyBorder="1"/>
    <xf numFmtId="183" fontId="29" fillId="0" borderId="0" xfId="3" applyNumberFormat="1" applyFont="1"/>
    <xf numFmtId="0" fontId="30" fillId="7" borderId="40" xfId="3" applyFont="1" applyFill="1" applyBorder="1" applyAlignment="1">
      <alignment horizontal="center"/>
    </xf>
    <xf numFmtId="0" fontId="29" fillId="0" borderId="26" xfId="3" applyNumberFormat="1" applyFont="1" applyBorder="1"/>
    <xf numFmtId="0" fontId="29" fillId="0" borderId="25" xfId="3" applyNumberFormat="1" applyFont="1" applyBorder="1"/>
    <xf numFmtId="0" fontId="29" fillId="0" borderId="27" xfId="3" applyNumberFormat="1" applyFont="1" applyBorder="1"/>
    <xf numFmtId="0" fontId="29" fillId="0" borderId="12" xfId="3" applyNumberFormat="1" applyFont="1" applyBorder="1"/>
    <xf numFmtId="0" fontId="29" fillId="0" borderId="0" xfId="3" applyNumberFormat="1" applyFont="1" applyBorder="1"/>
    <xf numFmtId="0" fontId="29" fillId="0" borderId="11" xfId="3" applyNumberFormat="1" applyFont="1" applyBorder="1"/>
    <xf numFmtId="0" fontId="29" fillId="0" borderId="16" xfId="3" applyNumberFormat="1" applyFont="1" applyBorder="1"/>
    <xf numFmtId="0" fontId="29" fillId="0" borderId="2" xfId="3" applyNumberFormat="1" applyFont="1" applyBorder="1"/>
    <xf numFmtId="0" fontId="29" fillId="0" borderId="17" xfId="3" applyNumberFormat="1" applyFont="1" applyBorder="1"/>
    <xf numFmtId="0" fontId="32" fillId="0" borderId="12" xfId="4" applyFont="1" applyBorder="1" applyAlignment="1">
      <alignment horizontal="right" wrapText="1"/>
    </xf>
    <xf numFmtId="0" fontId="32" fillId="0" borderId="16" xfId="4" applyFont="1" applyBorder="1" applyAlignment="1">
      <alignment horizontal="right"/>
    </xf>
    <xf numFmtId="183" fontId="29" fillId="0" borderId="26" xfId="3" applyNumberFormat="1" applyFont="1" applyBorder="1"/>
    <xf numFmtId="183" fontId="29" fillId="0" borderId="12" xfId="3" applyNumberFormat="1" applyFont="1" applyBorder="1"/>
    <xf numFmtId="183" fontId="29" fillId="0" borderId="16" xfId="3" applyNumberFormat="1" applyFont="1" applyBorder="1"/>
    <xf numFmtId="0" fontId="31" fillId="0" borderId="43" xfId="4" applyFont="1" applyBorder="1" applyAlignment="1">
      <alignment horizontal="center" wrapText="1"/>
    </xf>
    <xf numFmtId="0" fontId="31" fillId="0" borderId="44" xfId="4" applyFont="1" applyBorder="1" applyAlignment="1">
      <alignment horizontal="center" wrapText="1"/>
    </xf>
    <xf numFmtId="0" fontId="32" fillId="0" borderId="45" xfId="4" applyFont="1" applyBorder="1" applyAlignment="1">
      <alignment horizontal="right" wrapText="1"/>
    </xf>
    <xf numFmtId="0" fontId="32" fillId="0" borderId="46" xfId="4" applyFont="1" applyBorder="1" applyAlignment="1">
      <alignment horizontal="center" wrapText="1"/>
    </xf>
    <xf numFmtId="0" fontId="32" fillId="0" borderId="47" xfId="4" applyFont="1" applyBorder="1" applyAlignment="1">
      <alignment horizontal="right"/>
    </xf>
    <xf numFmtId="0" fontId="32" fillId="0" borderId="48" xfId="4" applyFont="1" applyBorder="1" applyAlignment="1">
      <alignment horizontal="center" wrapText="1"/>
    </xf>
    <xf numFmtId="183" fontId="29" fillId="0" borderId="49" xfId="3" applyNumberFormat="1" applyFont="1" applyBorder="1"/>
    <xf numFmtId="0" fontId="29" fillId="0" borderId="50" xfId="3" applyNumberFormat="1" applyFont="1" applyBorder="1"/>
    <xf numFmtId="183" fontId="29" fillId="0" borderId="45" xfId="3" applyNumberFormat="1" applyFont="1" applyBorder="1"/>
    <xf numFmtId="0" fontId="29" fillId="0" borderId="46" xfId="3" applyNumberFormat="1" applyFont="1" applyBorder="1"/>
    <xf numFmtId="183" fontId="29" fillId="0" borderId="47" xfId="3" applyNumberFormat="1" applyFont="1" applyBorder="1"/>
    <xf numFmtId="0" fontId="29" fillId="0" borderId="48" xfId="3" applyNumberFormat="1" applyFont="1" applyBorder="1"/>
    <xf numFmtId="43" fontId="29" fillId="0" borderId="50" xfId="3" applyNumberFormat="1" applyFont="1" applyBorder="1"/>
    <xf numFmtId="43" fontId="29" fillId="0" borderId="46" xfId="3" applyNumberFormat="1" applyFont="1" applyBorder="1"/>
    <xf numFmtId="43" fontId="29" fillId="0" borderId="48" xfId="3" applyNumberFormat="1" applyFont="1" applyBorder="1"/>
    <xf numFmtId="0" fontId="31" fillId="0" borderId="0" xfId="4" applyFont="1"/>
    <xf numFmtId="184" fontId="32" fillId="0" borderId="0" xfId="4" applyNumberFormat="1" applyFont="1" applyBorder="1"/>
    <xf numFmtId="164" fontId="32" fillId="0" borderId="0" xfId="4" applyNumberFormat="1" applyFont="1" applyBorder="1"/>
    <xf numFmtId="0" fontId="32" fillId="0" borderId="11" xfId="4" applyFont="1" applyBorder="1"/>
    <xf numFmtId="38" fontId="32" fillId="0" borderId="0" xfId="4" applyNumberFormat="1" applyFont="1"/>
    <xf numFmtId="184" fontId="32" fillId="0" borderId="0" xfId="4" applyNumberFormat="1" applyFont="1" applyFill="1" applyBorder="1"/>
    <xf numFmtId="0" fontId="32" fillId="0" borderId="31" xfId="4" applyFont="1" applyBorder="1"/>
    <xf numFmtId="0" fontId="32" fillId="0" borderId="51" xfId="4" applyFont="1" applyBorder="1" applyAlignment="1">
      <alignment horizontal="center"/>
    </xf>
    <xf numFmtId="0" fontId="32" fillId="0" borderId="52" xfId="4" applyFont="1" applyBorder="1" applyAlignment="1">
      <alignment horizontal="center"/>
    </xf>
    <xf numFmtId="0" fontId="32" fillId="0" borderId="53" xfId="4" applyFont="1" applyBorder="1" applyAlignment="1">
      <alignment horizontal="center"/>
    </xf>
    <xf numFmtId="164" fontId="32" fillId="0" borderId="0" xfId="4" applyNumberFormat="1" applyFont="1" applyFill="1" applyBorder="1"/>
    <xf numFmtId="184" fontId="32" fillId="0" borderId="25" xfId="4" applyNumberFormat="1" applyFont="1" applyBorder="1"/>
    <xf numFmtId="184" fontId="32" fillId="0" borderId="27" xfId="4" applyNumberFormat="1" applyFont="1" applyBorder="1"/>
    <xf numFmtId="0" fontId="32" fillId="0" borderId="42" xfId="4" applyFont="1" applyBorder="1"/>
    <xf numFmtId="184" fontId="32" fillId="0" borderId="12" xfId="4" applyNumberFormat="1" applyFont="1" applyFill="1" applyBorder="1"/>
    <xf numFmtId="184" fontId="32" fillId="0" borderId="11" xfId="4" applyNumberFormat="1" applyFont="1" applyBorder="1"/>
    <xf numFmtId="184" fontId="32" fillId="0" borderId="12" xfId="4" applyNumberFormat="1" applyFont="1" applyBorder="1"/>
    <xf numFmtId="177" fontId="32" fillId="0" borderId="24" xfId="4" applyNumberFormat="1" applyFont="1" applyBorder="1"/>
    <xf numFmtId="177" fontId="32" fillId="0" borderId="18" xfId="4" applyNumberFormat="1" applyFont="1" applyBorder="1"/>
    <xf numFmtId="177" fontId="32" fillId="0" borderId="23" xfId="4" applyNumberFormat="1" applyFont="1" applyBorder="1"/>
    <xf numFmtId="177" fontId="32" fillId="0" borderId="0" xfId="4" applyNumberFormat="1" applyFont="1" applyBorder="1"/>
    <xf numFmtId="185" fontId="32" fillId="0" borderId="0" xfId="4" applyNumberFormat="1" applyFont="1"/>
    <xf numFmtId="0" fontId="32" fillId="0" borderId="41" xfId="4" applyFont="1" applyBorder="1" applyAlignment="1">
      <alignment horizontal="left"/>
    </xf>
    <xf numFmtId="0" fontId="32" fillId="0" borderId="26" xfId="4" applyFont="1" applyBorder="1"/>
    <xf numFmtId="0" fontId="32" fillId="0" borderId="25" xfId="4" applyFont="1" applyBorder="1"/>
    <xf numFmtId="0" fontId="32" fillId="0" borderId="27" xfId="4" applyFont="1" applyBorder="1"/>
    <xf numFmtId="0" fontId="32" fillId="0" borderId="42" xfId="4" applyFont="1" applyBorder="1" applyAlignment="1">
      <alignment horizontal="left"/>
    </xf>
    <xf numFmtId="0" fontId="32" fillId="0" borderId="12" xfId="4" applyFont="1" applyBorder="1"/>
    <xf numFmtId="0" fontId="32" fillId="0" borderId="54" xfId="4" applyFont="1" applyBorder="1" applyAlignment="1">
      <alignment horizontal="left"/>
    </xf>
    <xf numFmtId="14" fontId="29" fillId="0" borderId="16" xfId="4" applyNumberFormat="1" applyFont="1" applyBorder="1"/>
    <xf numFmtId="14" fontId="32" fillId="0" borderId="2" xfId="4" applyNumberFormat="1" applyFont="1" applyBorder="1"/>
    <xf numFmtId="14" fontId="32" fillId="0" borderId="17" xfId="4" applyNumberFormat="1" applyFont="1" applyBorder="1"/>
    <xf numFmtId="14" fontId="32" fillId="0" borderId="0" xfId="4" applyNumberFormat="1" applyFont="1" applyBorder="1"/>
    <xf numFmtId="0" fontId="32" fillId="0" borderId="18" xfId="4" applyFont="1" applyBorder="1" applyAlignment="1">
      <alignment horizontal="left"/>
    </xf>
    <xf numFmtId="184" fontId="32" fillId="0" borderId="2" xfId="4" applyNumberFormat="1" applyFont="1" applyBorder="1"/>
    <xf numFmtId="184" fontId="32" fillId="0" borderId="16" xfId="4" applyNumberFormat="1" applyFont="1" applyBorder="1"/>
    <xf numFmtId="184" fontId="32" fillId="0" borderId="17" xfId="4" applyNumberFormat="1" applyFont="1" applyBorder="1"/>
    <xf numFmtId="164" fontId="32" fillId="0" borderId="0" xfId="4" applyNumberFormat="1" applyFont="1"/>
    <xf numFmtId="178" fontId="34" fillId="0" borderId="0" xfId="0" applyNumberFormat="1" applyFont="1" applyBorder="1"/>
    <xf numFmtId="178" fontId="34" fillId="0" borderId="11" xfId="0" applyNumberFormat="1" applyFont="1" applyBorder="1"/>
    <xf numFmtId="10" fontId="34" fillId="0" borderId="0" xfId="0" applyNumberFormat="1" applyFont="1" applyBorder="1"/>
    <xf numFmtId="10" fontId="34" fillId="0" borderId="11" xfId="0" applyNumberFormat="1" applyFont="1" applyBorder="1"/>
    <xf numFmtId="164" fontId="34" fillId="0" borderId="0" xfId="0" applyNumberFormat="1" applyFont="1" applyBorder="1"/>
    <xf numFmtId="164" fontId="34" fillId="0" borderId="11" xfId="0" applyNumberFormat="1" applyFont="1" applyBorder="1"/>
    <xf numFmtId="164" fontId="29" fillId="0" borderId="11" xfId="0" applyNumberFormat="1" applyFont="1" applyBorder="1"/>
    <xf numFmtId="10" fontId="29" fillId="0" borderId="0" xfId="0" applyNumberFormat="1" applyFont="1" applyBorder="1"/>
    <xf numFmtId="10" fontId="34" fillId="0" borderId="0" xfId="0" applyNumberFormat="1" applyFont="1" applyFill="1" applyBorder="1"/>
    <xf numFmtId="10" fontId="34" fillId="0" borderId="11" xfId="0" applyNumberFormat="1" applyFont="1" applyFill="1" applyBorder="1"/>
    <xf numFmtId="178" fontId="34" fillId="0" borderId="0" xfId="0" applyNumberFormat="1" applyFont="1" applyFill="1" applyBorder="1"/>
    <xf numFmtId="179" fontId="29" fillId="0" borderId="0" xfId="0" applyNumberFormat="1" applyFont="1" applyBorder="1"/>
    <xf numFmtId="10" fontId="30" fillId="0" borderId="0" xfId="0" applyNumberFormat="1" applyFont="1" applyBorder="1" applyAlignment="1">
      <alignment horizontal="center"/>
    </xf>
    <xf numFmtId="10" fontId="30" fillId="0" borderId="11" xfId="0" applyNumberFormat="1" applyFont="1" applyBorder="1" applyAlignment="1">
      <alignment horizontal="center"/>
    </xf>
    <xf numFmtId="10" fontId="34" fillId="0" borderId="2" xfId="0" applyNumberFormat="1" applyFont="1" applyBorder="1"/>
    <xf numFmtId="10" fontId="29" fillId="0" borderId="17" xfId="0" applyNumberFormat="1" applyFont="1" applyBorder="1"/>
    <xf numFmtId="164" fontId="32" fillId="0" borderId="11" xfId="4" applyNumberFormat="1" applyFont="1" applyBorder="1"/>
    <xf numFmtId="0" fontId="11" fillId="0" borderId="0" xfId="3" applyAlignment="1"/>
    <xf numFmtId="0" fontId="41" fillId="6" borderId="55" xfId="75" applyFont="1" applyFill="1" applyBorder="1" applyAlignment="1" applyProtection="1">
      <alignment horizontal="center" vertical="top" wrapText="1"/>
      <protection locked="0"/>
    </xf>
    <xf numFmtId="0" fontId="0" fillId="0" borderId="0" xfId="3" applyFont="1" applyAlignment="1">
      <alignment horizontal="right" vertical="center"/>
    </xf>
    <xf numFmtId="0" fontId="11" fillId="0" borderId="56" xfId="3" applyBorder="1"/>
    <xf numFmtId="0" fontId="43" fillId="0" borderId="0" xfId="3" applyFont="1" applyAlignment="1"/>
    <xf numFmtId="0" fontId="12" fillId="0" borderId="0" xfId="3" applyFont="1" applyAlignment="1">
      <alignment horizontal="right" vertical="center" wrapText="1" indent="1"/>
    </xf>
    <xf numFmtId="0" fontId="34" fillId="9" borderId="27" xfId="0" applyFont="1" applyFill="1" applyBorder="1" applyProtection="1">
      <protection locked="0"/>
    </xf>
    <xf numFmtId="0" fontId="34" fillId="9" borderId="11" xfId="0" applyFont="1" applyFill="1" applyBorder="1" applyProtection="1">
      <protection locked="0"/>
    </xf>
    <xf numFmtId="0" fontId="34" fillId="9" borderId="17" xfId="0" applyFont="1" applyFill="1" applyBorder="1" applyProtection="1">
      <protection locked="0"/>
    </xf>
    <xf numFmtId="43" fontId="32" fillId="0" borderId="0" xfId="4" applyNumberFormat="1" applyFont="1" applyBorder="1"/>
    <xf numFmtId="184" fontId="32" fillId="0" borderId="26" xfId="4" applyNumberFormat="1" applyFont="1" applyBorder="1"/>
    <xf numFmtId="0" fontId="9" fillId="0" borderId="0" xfId="76" applyFont="1"/>
    <xf numFmtId="0" fontId="28" fillId="10" borderId="58" xfId="76" applyFont="1" applyFill="1" applyBorder="1" applyAlignment="1">
      <alignment horizontal="center"/>
    </xf>
    <xf numFmtId="0" fontId="9" fillId="0" borderId="41" xfId="76" applyFont="1" applyBorder="1"/>
    <xf numFmtId="0" fontId="9" fillId="0" borderId="42" xfId="76" applyFont="1" applyBorder="1"/>
    <xf numFmtId="0" fontId="9" fillId="0" borderId="54" xfId="76" applyFont="1" applyBorder="1"/>
    <xf numFmtId="0" fontId="9" fillId="0" borderId="12" xfId="76" applyFont="1" applyBorder="1"/>
    <xf numFmtId="10" fontId="29" fillId="0" borderId="0" xfId="76" applyNumberFormat="1" applyFont="1" applyBorder="1"/>
    <xf numFmtId="0" fontId="9" fillId="0" borderId="11" xfId="76" applyFont="1" applyBorder="1"/>
    <xf numFmtId="0" fontId="34" fillId="0" borderId="0" xfId="76" applyFont="1" applyBorder="1"/>
    <xf numFmtId="0" fontId="28" fillId="0" borderId="12" xfId="76" applyFont="1" applyBorder="1"/>
    <xf numFmtId="0" fontId="9" fillId="0" borderId="0" xfId="76" applyFont="1" applyBorder="1"/>
    <xf numFmtId="0" fontId="28" fillId="0" borderId="2" xfId="76" applyFont="1" applyBorder="1"/>
    <xf numFmtId="0" fontId="32" fillId="0" borderId="0" xfId="4" applyFont="1" applyBorder="1" applyAlignment="1">
      <alignment horizontal="left"/>
    </xf>
    <xf numFmtId="14" fontId="29" fillId="0" borderId="0" xfId="4" applyNumberFormat="1" applyFont="1" applyBorder="1"/>
    <xf numFmtId="0" fontId="31" fillId="0" borderId="0" xfId="4" applyFont="1" applyFill="1" applyBorder="1" applyAlignment="1">
      <alignment horizontal="center"/>
    </xf>
    <xf numFmtId="0" fontId="31" fillId="0" borderId="12" xfId="4" applyFont="1" applyFill="1" applyBorder="1" applyAlignment="1">
      <alignment horizontal="center"/>
    </xf>
    <xf numFmtId="0" fontId="31" fillId="0" borderId="0" xfId="4" applyFont="1" applyBorder="1" applyAlignment="1">
      <alignment horizontal="center"/>
    </xf>
    <xf numFmtId="0" fontId="32" fillId="0" borderId="16" xfId="4" applyFont="1" applyFill="1" applyBorder="1" applyAlignment="1">
      <alignment horizontal="center" wrapText="1"/>
    </xf>
    <xf numFmtId="0" fontId="32" fillId="0" borderId="17" xfId="4" applyFont="1" applyFill="1" applyBorder="1" applyAlignment="1">
      <alignment horizontal="center" wrapText="1"/>
    </xf>
    <xf numFmtId="0" fontId="8" fillId="0" borderId="54" xfId="76" applyFont="1" applyBorder="1"/>
    <xf numFmtId="0" fontId="8" fillId="0" borderId="42" xfId="76" applyFont="1" applyBorder="1"/>
    <xf numFmtId="0" fontId="0" fillId="0" borderId="0" xfId="0" applyAlignment="1">
      <alignment horizontal="center" vertical="center" wrapText="1"/>
    </xf>
    <xf numFmtId="0" fontId="11" fillId="0" borderId="56" xfId="3" applyBorder="1" applyAlignment="1">
      <alignment horizontal="center"/>
    </xf>
    <xf numFmtId="0" fontId="42" fillId="0" borderId="0" xfId="3" applyFont="1" applyAlignment="1">
      <alignment wrapText="1"/>
    </xf>
    <xf numFmtId="0" fontId="0" fillId="0" borderId="0" xfId="0" applyAlignment="1"/>
    <xf numFmtId="0" fontId="12" fillId="0" borderId="0" xfId="3" applyFont="1" applyAlignment="1"/>
    <xf numFmtId="0" fontId="12" fillId="0" borderId="0" xfId="0" applyFont="1" applyAlignment="1"/>
    <xf numFmtId="0" fontId="12" fillId="0" borderId="56" xfId="0" applyFont="1" applyBorder="1" applyAlignment="1"/>
    <xf numFmtId="0" fontId="11" fillId="0" borderId="0" xfId="3" applyBorder="1" applyAlignment="1"/>
    <xf numFmtId="0" fontId="12" fillId="0" borderId="56" xfId="3" applyFont="1" applyBorder="1" applyAlignment="1"/>
    <xf numFmtId="0" fontId="7" fillId="0" borderId="42" xfId="76" applyFont="1" applyBorder="1"/>
    <xf numFmtId="0" fontId="12" fillId="0" borderId="0" xfId="3" applyFont="1" applyBorder="1" applyAlignment="1"/>
    <xf numFmtId="0" fontId="11" fillId="0" borderId="8" xfId="3" applyBorder="1" applyAlignment="1"/>
    <xf numFmtId="0" fontId="11" fillId="0" borderId="9" xfId="3" applyBorder="1" applyAlignment="1"/>
    <xf numFmtId="0" fontId="12" fillId="0" borderId="8" xfId="3" applyFont="1" applyBorder="1" applyAlignment="1"/>
    <xf numFmtId="0" fontId="12" fillId="0" borderId="9" xfId="3" applyFont="1" applyBorder="1" applyAlignment="1"/>
    <xf numFmtId="0" fontId="11" fillId="0" borderId="10" xfId="3" applyBorder="1" applyAlignment="1"/>
    <xf numFmtId="0" fontId="11" fillId="0" borderId="8" xfId="3" applyBorder="1"/>
    <xf numFmtId="0" fontId="11" fillId="0" borderId="9" xfId="3" applyBorder="1"/>
    <xf numFmtId="0" fontId="11" fillId="0" borderId="10" xfId="3" applyBorder="1"/>
    <xf numFmtId="0" fontId="11" fillId="0" borderId="8" xfId="3" applyFont="1" applyBorder="1" applyAlignment="1"/>
    <xf numFmtId="0" fontId="11" fillId="0" borderId="9" xfId="3" applyFont="1" applyBorder="1" applyAlignment="1"/>
    <xf numFmtId="0" fontId="6" fillId="0" borderId="42" xfId="76" applyFont="1" applyBorder="1"/>
    <xf numFmtId="0" fontId="6" fillId="0" borderId="54" xfId="76" applyFont="1" applyBorder="1"/>
    <xf numFmtId="0" fontId="30" fillId="0" borderId="73" xfId="0" applyFont="1" applyBorder="1" applyAlignment="1">
      <alignment horizontal="center"/>
    </xf>
    <xf numFmtId="0" fontId="30" fillId="0" borderId="31" xfId="0" applyFont="1" applyBorder="1" applyAlignment="1">
      <alignment horizontal="center"/>
    </xf>
    <xf numFmtId="182" fontId="29" fillId="0" borderId="0" xfId="0" applyNumberFormat="1" applyFont="1" applyBorder="1"/>
    <xf numFmtId="182" fontId="29" fillId="0" borderId="11" xfId="0" applyNumberFormat="1" applyFont="1" applyBorder="1"/>
    <xf numFmtId="182" fontId="29" fillId="0" borderId="2" xfId="0" applyNumberFormat="1" applyFont="1" applyBorder="1"/>
    <xf numFmtId="182" fontId="29" fillId="0" borderId="17" xfId="0" applyNumberFormat="1" applyFont="1" applyBorder="1"/>
    <xf numFmtId="0" fontId="32" fillId="0" borderId="0" xfId="4" applyNumberFormat="1" applyFont="1" applyFill="1" applyBorder="1"/>
    <xf numFmtId="183" fontId="29" fillId="0" borderId="41" xfId="3" applyNumberFormat="1" applyFont="1" applyBorder="1"/>
    <xf numFmtId="183" fontId="29" fillId="0" borderId="42" xfId="3" applyNumberFormat="1" applyFont="1" applyBorder="1"/>
    <xf numFmtId="183" fontId="29" fillId="0" borderId="54" xfId="3" applyNumberFormat="1" applyFont="1" applyBorder="1"/>
    <xf numFmtId="183" fontId="29" fillId="0" borderId="2" xfId="3" applyNumberFormat="1" applyFont="1" applyBorder="1"/>
    <xf numFmtId="49" fontId="29" fillId="0" borderId="38" xfId="0" applyNumberFormat="1" applyFont="1" applyBorder="1"/>
    <xf numFmtId="49" fontId="29" fillId="0" borderId="39" xfId="0" applyNumberFormat="1" applyFont="1" applyBorder="1"/>
    <xf numFmtId="2" fontId="32" fillId="0" borderId="25" xfId="4" applyNumberFormat="1" applyFont="1" applyFill="1" applyBorder="1" applyAlignment="1"/>
    <xf numFmtId="2" fontId="32" fillId="0" borderId="0" xfId="4" applyNumberFormat="1" applyFont="1" applyFill="1" applyBorder="1" applyAlignment="1"/>
    <xf numFmtId="2" fontId="32" fillId="0" borderId="2" xfId="4" applyNumberFormat="1" applyFont="1" applyFill="1" applyBorder="1" applyAlignment="1"/>
    <xf numFmtId="0" fontId="32" fillId="0" borderId="26" xfId="4" applyFont="1" applyFill="1" applyBorder="1" applyAlignment="1">
      <alignment horizontal="center"/>
    </xf>
    <xf numFmtId="0" fontId="32" fillId="0" borderId="12" xfId="4" applyFont="1" applyFill="1" applyBorder="1" applyAlignment="1">
      <alignment horizontal="center"/>
    </xf>
    <xf numFmtId="0" fontId="32" fillId="0" borderId="16" xfId="4" applyFont="1" applyFill="1" applyBorder="1" applyAlignment="1">
      <alignment horizontal="center"/>
    </xf>
    <xf numFmtId="186" fontId="29" fillId="0" borderId="0" xfId="2" applyNumberFormat="1" applyFont="1" applyAlignment="1">
      <alignment horizontal="center"/>
    </xf>
    <xf numFmtId="166" fontId="29" fillId="0" borderId="0" xfId="2" applyFont="1" applyFill="1" applyAlignment="1">
      <alignment horizontal="center"/>
    </xf>
    <xf numFmtId="0" fontId="32" fillId="0" borderId="0" xfId="4" applyFont="1" applyAlignment="1">
      <alignment horizontal="left" indent="1"/>
    </xf>
    <xf numFmtId="184" fontId="32" fillId="0" borderId="0" xfId="4" applyNumberFormat="1" applyFont="1"/>
    <xf numFmtId="182" fontId="29" fillId="0" borderId="11" xfId="0" applyNumberFormat="1" applyFont="1" applyBorder="1" applyProtection="1"/>
    <xf numFmtId="0" fontId="28" fillId="0" borderId="0" xfId="0" applyFont="1" applyFill="1" applyAlignment="1">
      <alignment horizontal="center"/>
    </xf>
    <xf numFmtId="0" fontId="29" fillId="0" borderId="0" xfId="0" applyNumberFormat="1" applyFont="1" applyFill="1"/>
    <xf numFmtId="180" fontId="29" fillId="0" borderId="0" xfId="0" applyNumberFormat="1" applyFont="1"/>
    <xf numFmtId="0" fontId="29" fillId="0" borderId="12" xfId="3" applyFont="1" applyBorder="1" applyProtection="1"/>
    <xf numFmtId="0" fontId="29" fillId="0" borderId="12" xfId="0" applyFont="1" applyBorder="1" applyProtection="1"/>
    <xf numFmtId="0" fontId="30" fillId="0" borderId="12" xfId="0" applyFont="1" applyFill="1" applyBorder="1" applyAlignment="1" applyProtection="1">
      <alignment horizontal="center"/>
    </xf>
    <xf numFmtId="0" fontId="29" fillId="0" borderId="16" xfId="0" applyFont="1" applyBorder="1" applyProtection="1"/>
    <xf numFmtId="0" fontId="30" fillId="0" borderId="36" xfId="0" applyFont="1" applyBorder="1" applyAlignment="1" applyProtection="1">
      <alignment horizontal="center"/>
    </xf>
    <xf numFmtId="0" fontId="30" fillId="0" borderId="37" xfId="0" applyFont="1" applyBorder="1" applyAlignment="1" applyProtection="1">
      <alignment horizontal="center"/>
    </xf>
    <xf numFmtId="0" fontId="30" fillId="0" borderId="37" xfId="0" applyFont="1" applyFill="1" applyBorder="1" applyAlignment="1" applyProtection="1">
      <alignment horizontal="center"/>
    </xf>
    <xf numFmtId="0" fontId="30" fillId="0" borderId="35" xfId="0" applyFont="1" applyBorder="1" applyAlignment="1" applyProtection="1">
      <alignment horizontal="center"/>
    </xf>
    <xf numFmtId="0" fontId="29" fillId="0" borderId="26" xfId="0" applyFont="1" applyBorder="1" applyProtection="1"/>
    <xf numFmtId="181" fontId="29" fillId="0" borderId="0" xfId="0" applyNumberFormat="1" applyFont="1" applyProtection="1"/>
    <xf numFmtId="0" fontId="29" fillId="0" borderId="0" xfId="3" applyFont="1" applyBorder="1" applyProtection="1"/>
    <xf numFmtId="164" fontId="34" fillId="0" borderId="0" xfId="0" applyNumberFormat="1" applyFont="1" applyBorder="1" applyProtection="1"/>
    <xf numFmtId="0" fontId="29" fillId="0" borderId="31" xfId="0" applyFont="1" applyBorder="1" applyAlignment="1" applyProtection="1">
      <alignment horizontal="center"/>
      <protection locked="0"/>
    </xf>
    <xf numFmtId="0" fontId="29" fillId="0" borderId="42" xfId="0" applyFont="1" applyBorder="1" applyAlignment="1" applyProtection="1">
      <alignment horizontal="right"/>
      <protection locked="0"/>
    </xf>
    <xf numFmtId="0" fontId="29" fillId="0" borderId="54" xfId="0" applyFont="1" applyBorder="1" applyAlignment="1" applyProtection="1">
      <alignment horizontal="right"/>
      <protection locked="0"/>
    </xf>
    <xf numFmtId="10" fontId="34" fillId="0" borderId="0" xfId="0" applyNumberFormat="1" applyFont="1"/>
    <xf numFmtId="182" fontId="29" fillId="0" borderId="12" xfId="0" applyNumberFormat="1" applyFont="1" applyBorder="1" applyAlignment="1">
      <alignment horizontal="right"/>
    </xf>
    <xf numFmtId="182" fontId="29" fillId="0" borderId="0" xfId="0" applyNumberFormat="1" applyFont="1" applyBorder="1" applyAlignment="1">
      <alignment horizontal="right"/>
    </xf>
    <xf numFmtId="182" fontId="29" fillId="0" borderId="11" xfId="0" applyNumberFormat="1" applyFont="1" applyBorder="1" applyAlignment="1">
      <alignment horizontal="right"/>
    </xf>
    <xf numFmtId="9" fontId="29" fillId="0" borderId="42" xfId="0" applyNumberFormat="1" applyFont="1" applyBorder="1"/>
    <xf numFmtId="0" fontId="47" fillId="12" borderId="12" xfId="0" applyFont="1" applyFill="1" applyBorder="1" applyAlignment="1">
      <alignment horizontal="center" wrapText="1"/>
    </xf>
    <xf numFmtId="0" fontId="47" fillId="12" borderId="0" xfId="0" applyFont="1" applyFill="1" applyBorder="1" applyAlignment="1">
      <alignment horizontal="center" wrapText="1"/>
    </xf>
    <xf numFmtId="0" fontId="47" fillId="12" borderId="11" xfId="0" applyFont="1" applyFill="1" applyBorder="1" applyAlignment="1">
      <alignment horizontal="center" wrapText="1"/>
    </xf>
    <xf numFmtId="182" fontId="29" fillId="0" borderId="25" xfId="0" applyNumberFormat="1" applyFont="1" applyBorder="1"/>
    <xf numFmtId="182" fontId="29" fillId="0" borderId="27" xfId="0" applyNumberFormat="1" applyFont="1" applyBorder="1" applyAlignment="1">
      <alignment horizontal="right"/>
    </xf>
    <xf numFmtId="182" fontId="29" fillId="0" borderId="12" xfId="0" applyNumberFormat="1" applyFont="1" applyBorder="1"/>
    <xf numFmtId="182" fontId="29" fillId="0" borderId="16" xfId="0" applyNumberFormat="1" applyFont="1" applyBorder="1"/>
    <xf numFmtId="0" fontId="30" fillId="0" borderId="0" xfId="0" applyFont="1"/>
    <xf numFmtId="189" fontId="29" fillId="0" borderId="11" xfId="0" applyNumberFormat="1" applyFont="1" applyBorder="1" applyAlignment="1">
      <alignment horizontal="right"/>
    </xf>
    <xf numFmtId="0" fontId="32" fillId="0" borderId="0" xfId="4" applyNumberFormat="1" applyFont="1" applyBorder="1"/>
    <xf numFmtId="169" fontId="32" fillId="0" borderId="11" xfId="2" applyNumberFormat="1" applyFont="1" applyBorder="1"/>
    <xf numFmtId="188" fontId="32" fillId="0" borderId="25" xfId="5" applyNumberFormat="1" applyFont="1" applyBorder="1"/>
    <xf numFmtId="188" fontId="32" fillId="0" borderId="27" xfId="5" applyNumberFormat="1" applyFont="1" applyBorder="1"/>
    <xf numFmtId="188" fontId="32" fillId="0" borderId="0" xfId="5" applyNumberFormat="1" applyFont="1" applyBorder="1"/>
    <xf numFmtId="188" fontId="32" fillId="0" borderId="11" xfId="5" applyNumberFormat="1" applyFont="1" applyBorder="1"/>
    <xf numFmtId="188" fontId="32" fillId="0" borderId="2" xfId="5" applyNumberFormat="1" applyFont="1" applyBorder="1"/>
    <xf numFmtId="188" fontId="32" fillId="0" borderId="17" xfId="5" applyNumberFormat="1" applyFont="1" applyBorder="1"/>
    <xf numFmtId="43" fontId="32" fillId="0" borderId="25" xfId="4" applyNumberFormat="1" applyFont="1" applyBorder="1"/>
    <xf numFmtId="0" fontId="29" fillId="0" borderId="0" xfId="3" applyFont="1" applyAlignment="1">
      <alignment horizontal="center"/>
    </xf>
    <xf numFmtId="0" fontId="5" fillId="0" borderId="0" xfId="0" applyFont="1"/>
    <xf numFmtId="0" fontId="5" fillId="0" borderId="0" xfId="0" applyFont="1" applyAlignment="1">
      <alignment horizontal="right"/>
    </xf>
    <xf numFmtId="0" fontId="5" fillId="0" borderId="0" xfId="0" applyFont="1" applyAlignment="1"/>
    <xf numFmtId="190" fontId="29" fillId="0" borderId="11" xfId="0" applyNumberFormat="1" applyFont="1" applyBorder="1"/>
    <xf numFmtId="190" fontId="29" fillId="0" borderId="17" xfId="0" applyNumberFormat="1" applyFont="1" applyBorder="1"/>
    <xf numFmtId="0" fontId="29" fillId="0" borderId="42" xfId="0" applyFont="1" applyBorder="1"/>
    <xf numFmtId="0" fontId="29" fillId="0" borderId="0" xfId="0" applyFont="1" applyBorder="1" applyAlignment="1" applyProtection="1">
      <alignment horizontal="right"/>
      <protection locked="0"/>
    </xf>
    <xf numFmtId="182" fontId="29" fillId="0" borderId="0" xfId="0" applyNumberFormat="1" applyFont="1" applyBorder="1" applyProtection="1"/>
    <xf numFmtId="178" fontId="29" fillId="0" borderId="0" xfId="0" applyNumberFormat="1" applyFont="1" applyBorder="1" applyProtection="1"/>
    <xf numFmtId="168" fontId="32" fillId="0" borderId="0" xfId="4" applyNumberFormat="1" applyFont="1" applyFill="1" applyBorder="1" applyAlignment="1">
      <alignment horizontal="center"/>
    </xf>
    <xf numFmtId="0" fontId="29" fillId="0" borderId="0" xfId="3" applyFont="1" applyAlignment="1">
      <alignment horizontal="center" wrapText="1"/>
    </xf>
    <xf numFmtId="0" fontId="29" fillId="0" borderId="12" xfId="3" applyFont="1" applyFill="1" applyBorder="1" applyProtection="1"/>
    <xf numFmtId="191" fontId="29" fillId="0" borderId="0" xfId="3" applyNumberFormat="1" applyFont="1"/>
    <xf numFmtId="179" fontId="34" fillId="0" borderId="0" xfId="0" applyNumberFormat="1" applyFont="1" applyFill="1" applyBorder="1"/>
    <xf numFmtId="192" fontId="30" fillId="0" borderId="0" xfId="0" applyNumberFormat="1" applyFont="1" applyProtection="1">
      <protection locked="0"/>
    </xf>
    <xf numFmtId="193" fontId="29" fillId="0" borderId="0" xfId="0" applyNumberFormat="1" applyFont="1" applyBorder="1" applyProtection="1">
      <protection locked="0"/>
    </xf>
    <xf numFmtId="184" fontId="31" fillId="0" borderId="0" xfId="4" applyNumberFormat="1" applyFont="1" applyBorder="1" applyAlignment="1">
      <alignment horizontal="center"/>
    </xf>
    <xf numFmtId="164" fontId="31" fillId="0" borderId="26" xfId="4" applyNumberFormat="1" applyFont="1" applyBorder="1"/>
    <xf numFmtId="164" fontId="31" fillId="0" borderId="12" xfId="4" applyNumberFormat="1" applyFont="1" applyBorder="1"/>
    <xf numFmtId="164" fontId="31" fillId="0" borderId="16" xfId="4" applyNumberFormat="1" applyFont="1" applyBorder="1"/>
    <xf numFmtId="0" fontId="29" fillId="0" borderId="12" xfId="0" applyFont="1" applyBorder="1" applyAlignment="1" applyProtection="1"/>
    <xf numFmtId="0" fontId="29" fillId="0" borderId="0" xfId="0" applyFont="1" applyBorder="1" applyProtection="1">
      <protection locked="0"/>
    </xf>
    <xf numFmtId="10" fontId="34" fillId="9" borderId="11" xfId="0" applyNumberFormat="1" applyFont="1" applyFill="1" applyBorder="1" applyAlignment="1" applyProtection="1">
      <protection locked="0"/>
    </xf>
    <xf numFmtId="0" fontId="29" fillId="0" borderId="83" xfId="0" applyFont="1" applyBorder="1" applyProtection="1"/>
    <xf numFmtId="0" fontId="29" fillId="0" borderId="84" xfId="0" applyFont="1" applyBorder="1" applyProtection="1"/>
    <xf numFmtId="10" fontId="34" fillId="9" borderId="85" xfId="0" applyNumberFormat="1" applyFont="1" applyFill="1" applyBorder="1" applyAlignment="1" applyProtection="1">
      <protection locked="0"/>
    </xf>
    <xf numFmtId="0" fontId="34" fillId="6" borderId="11" xfId="0" applyFont="1" applyFill="1" applyBorder="1" applyAlignment="1" applyProtection="1">
      <alignment horizontal="right"/>
      <protection locked="0"/>
    </xf>
    <xf numFmtId="49" fontId="34" fillId="6" borderId="0" xfId="0" applyNumberFormat="1" applyFont="1" applyFill="1" applyBorder="1" applyAlignment="1" applyProtection="1">
      <protection locked="0"/>
    </xf>
    <xf numFmtId="0" fontId="29" fillId="0" borderId="11" xfId="0" applyFont="1" applyBorder="1" applyAlignment="1" applyProtection="1"/>
    <xf numFmtId="191" fontId="29" fillId="0" borderId="11" xfId="0" applyNumberFormat="1" applyFont="1" applyFill="1" applyBorder="1" applyAlignment="1" applyProtection="1"/>
    <xf numFmtId="194" fontId="29" fillId="0" borderId="0" xfId="0" applyNumberFormat="1" applyFont="1" applyBorder="1"/>
    <xf numFmtId="182" fontId="29" fillId="0" borderId="85" xfId="0" applyNumberFormat="1" applyFont="1" applyBorder="1"/>
    <xf numFmtId="182" fontId="29" fillId="0" borderId="83" xfId="0" applyNumberFormat="1" applyFont="1" applyBorder="1"/>
    <xf numFmtId="182" fontId="29" fillId="0" borderId="84" xfId="0" applyNumberFormat="1" applyFont="1" applyBorder="1"/>
    <xf numFmtId="0" fontId="29" fillId="0" borderId="0" xfId="0" applyFont="1" applyBorder="1" applyAlignment="1">
      <alignment horizontal="center"/>
    </xf>
    <xf numFmtId="0" fontId="29" fillId="0" borderId="89" xfId="0" applyFont="1" applyBorder="1"/>
    <xf numFmtId="0" fontId="29" fillId="0" borderId="90" xfId="0" applyFont="1" applyBorder="1"/>
    <xf numFmtId="0" fontId="47" fillId="12" borderId="83" xfId="0" applyFont="1" applyFill="1" applyBorder="1" applyAlignment="1">
      <alignment horizontal="center" wrapText="1"/>
    </xf>
    <xf numFmtId="0" fontId="47" fillId="12" borderId="84" xfId="0" applyFont="1" applyFill="1" applyBorder="1" applyAlignment="1">
      <alignment horizontal="center" wrapText="1"/>
    </xf>
    <xf numFmtId="0" fontId="47" fillId="12" borderId="85" xfId="0" applyFont="1" applyFill="1" applyBorder="1" applyAlignment="1">
      <alignment horizontal="center" wrapText="1"/>
    </xf>
    <xf numFmtId="182" fontId="29" fillId="0" borderId="83" xfId="0" applyNumberFormat="1" applyFont="1" applyBorder="1" applyAlignment="1">
      <alignment horizontal="right"/>
    </xf>
    <xf numFmtId="182" fontId="29" fillId="0" borderId="84" xfId="0" applyNumberFormat="1" applyFont="1" applyBorder="1" applyAlignment="1">
      <alignment horizontal="right"/>
    </xf>
    <xf numFmtId="189" fontId="29" fillId="0" borderId="85" xfId="0" applyNumberFormat="1" applyFont="1" applyBorder="1" applyAlignment="1">
      <alignment horizontal="right"/>
    </xf>
    <xf numFmtId="0" fontId="30" fillId="0" borderId="0" xfId="0" applyFont="1" applyBorder="1"/>
    <xf numFmtId="182" fontId="30" fillId="0" borderId="0" xfId="0" applyNumberFormat="1" applyFont="1" applyBorder="1" applyAlignment="1">
      <alignment horizontal="right"/>
    </xf>
    <xf numFmtId="0" fontId="29" fillId="0" borderId="91" xfId="0" applyFont="1" applyBorder="1"/>
    <xf numFmtId="0" fontId="29" fillId="0" borderId="92" xfId="0" applyFont="1" applyBorder="1"/>
    <xf numFmtId="0" fontId="29" fillId="0" borderId="93" xfId="0" applyFont="1" applyBorder="1"/>
    <xf numFmtId="0" fontId="47" fillId="13" borderId="83" xfId="0" applyFont="1" applyFill="1" applyBorder="1" applyAlignment="1">
      <alignment horizontal="center" wrapText="1"/>
    </xf>
    <xf numFmtId="0" fontId="47" fillId="13" borderId="84" xfId="0" applyFont="1" applyFill="1" applyBorder="1" applyAlignment="1">
      <alignment horizontal="center" wrapText="1"/>
    </xf>
    <xf numFmtId="0" fontId="47" fillId="13" borderId="85" xfId="0" applyFont="1" applyFill="1" applyBorder="1" applyAlignment="1">
      <alignment horizontal="center" wrapText="1"/>
    </xf>
    <xf numFmtId="9" fontId="29" fillId="0" borderId="97" xfId="0" applyNumberFormat="1" applyFont="1" applyBorder="1"/>
    <xf numFmtId="182" fontId="29" fillId="0" borderId="85" xfId="0" applyNumberFormat="1" applyFont="1" applyBorder="1" applyAlignment="1">
      <alignment horizontal="right"/>
    </xf>
    <xf numFmtId="182" fontId="30" fillId="0" borderId="0" xfId="0" applyNumberFormat="1" applyFont="1" applyBorder="1"/>
    <xf numFmtId="182" fontId="30" fillId="4" borderId="0" xfId="0" applyNumberFormat="1" applyFont="1" applyFill="1" applyBorder="1"/>
    <xf numFmtId="10" fontId="34" fillId="0" borderId="89" xfId="0" applyNumberFormat="1" applyFont="1" applyBorder="1"/>
    <xf numFmtId="41" fontId="34" fillId="0" borderId="89" xfId="0" applyNumberFormat="1" applyFont="1" applyBorder="1"/>
    <xf numFmtId="0" fontId="29" fillId="0" borderId="89" xfId="0" applyFont="1" applyBorder="1" applyAlignment="1">
      <alignment horizontal="center"/>
    </xf>
    <xf numFmtId="182" fontId="29" fillId="0" borderId="89" xfId="0" applyNumberFormat="1" applyFont="1" applyBorder="1"/>
    <xf numFmtId="0" fontId="47" fillId="13" borderId="24" xfId="0" applyFont="1" applyFill="1" applyBorder="1" applyAlignment="1">
      <alignment horizontal="center" wrapText="1"/>
    </xf>
    <xf numFmtId="0" fontId="47" fillId="13" borderId="18" xfId="0" applyFont="1" applyFill="1" applyBorder="1" applyAlignment="1">
      <alignment horizontal="center" wrapText="1"/>
    </xf>
    <xf numFmtId="0" fontId="47" fillId="13" borderId="23" xfId="0" applyFont="1" applyFill="1" applyBorder="1" applyAlignment="1">
      <alignment horizontal="center" wrapText="1"/>
    </xf>
    <xf numFmtId="0" fontId="47" fillId="12" borderId="24" xfId="0" applyFont="1" applyFill="1" applyBorder="1" applyAlignment="1">
      <alignment horizontal="center" wrapText="1"/>
    </xf>
    <xf numFmtId="0" fontId="47" fillId="12" borderId="18" xfId="0" applyFont="1" applyFill="1" applyBorder="1" applyAlignment="1">
      <alignment horizontal="center" wrapText="1"/>
    </xf>
    <xf numFmtId="0" fontId="47" fillId="12" borderId="23" xfId="0" applyFont="1" applyFill="1" applyBorder="1" applyAlignment="1">
      <alignment horizontal="center" wrapText="1"/>
    </xf>
    <xf numFmtId="0" fontId="29" fillId="0" borderId="97" xfId="0" applyFont="1" applyBorder="1"/>
    <xf numFmtId="0" fontId="30" fillId="0" borderId="31" xfId="0" applyFont="1" applyBorder="1" applyAlignment="1">
      <alignment horizontal="center" wrapText="1"/>
    </xf>
    <xf numFmtId="2" fontId="29" fillId="0" borderId="0" xfId="0" applyNumberFormat="1" applyFont="1"/>
    <xf numFmtId="0" fontId="29" fillId="0" borderId="11" xfId="3" applyFont="1" applyBorder="1" applyAlignment="1" applyProtection="1"/>
    <xf numFmtId="0" fontId="30" fillId="0" borderId="11" xfId="0" applyFont="1" applyFill="1" applyBorder="1" applyAlignment="1" applyProtection="1">
      <alignment horizontal="center"/>
    </xf>
    <xf numFmtId="179" fontId="29" fillId="0" borderId="0" xfId="0" applyNumberFormat="1" applyFont="1" applyFill="1" applyBorder="1"/>
    <xf numFmtId="0" fontId="32" fillId="0" borderId="0" xfId="4" applyNumberFormat="1" applyFont="1" applyFill="1" applyBorder="1" applyAlignment="1">
      <alignment horizontal="right"/>
    </xf>
    <xf numFmtId="0" fontId="4" fillId="0" borderId="0" xfId="0" applyFont="1"/>
    <xf numFmtId="0" fontId="30" fillId="0" borderId="0" xfId="0" applyFont="1" applyBorder="1" applyAlignment="1">
      <alignment horizontal="center" vertical="center" textRotation="90"/>
    </xf>
    <xf numFmtId="0" fontId="34" fillId="14" borderId="11" xfId="0" applyFont="1" applyFill="1" applyBorder="1" applyAlignment="1" applyProtection="1">
      <alignment horizontal="right"/>
      <protection locked="0"/>
    </xf>
    <xf numFmtId="0" fontId="31" fillId="0" borderId="0" xfId="3" applyFont="1" applyAlignment="1">
      <alignment horizontal="right"/>
    </xf>
    <xf numFmtId="191" fontId="10" fillId="0" borderId="0" xfId="74" applyNumberFormat="1"/>
    <xf numFmtId="49" fontId="34" fillId="6" borderId="11" xfId="0" applyNumberFormat="1" applyFont="1" applyFill="1" applyBorder="1" applyAlignment="1" applyProtection="1">
      <alignment horizontal="right"/>
      <protection locked="0"/>
    </xf>
    <xf numFmtId="49" fontId="34" fillId="9" borderId="11" xfId="3" applyNumberFormat="1" applyFont="1" applyFill="1" applyBorder="1" applyAlignment="1" applyProtection="1">
      <alignment horizontal="right"/>
      <protection locked="0"/>
    </xf>
    <xf numFmtId="0" fontId="34" fillId="9" borderId="11" xfId="3" applyFont="1" applyFill="1" applyBorder="1" applyAlignment="1" applyProtection="1">
      <alignment horizontal="right"/>
      <protection locked="0"/>
    </xf>
    <xf numFmtId="0" fontId="34" fillId="9" borderId="30" xfId="3" applyFont="1" applyFill="1" applyBorder="1" applyAlignment="1" applyProtection="1">
      <alignment horizontal="right"/>
      <protection locked="0"/>
    </xf>
    <xf numFmtId="0" fontId="30" fillId="0" borderId="0" xfId="0" applyFont="1" applyFill="1" applyBorder="1" applyAlignment="1">
      <alignment horizontal="center" wrapText="1"/>
    </xf>
    <xf numFmtId="182" fontId="29" fillId="0" borderId="0" xfId="0" applyNumberFormat="1" applyFont="1"/>
    <xf numFmtId="196" fontId="29" fillId="0" borderId="0" xfId="0" applyNumberFormat="1" applyFont="1" applyBorder="1"/>
    <xf numFmtId="197" fontId="29" fillId="0" borderId="0" xfId="0" applyNumberFormat="1" applyFont="1"/>
    <xf numFmtId="197" fontId="29" fillId="0" borderId="0" xfId="0" applyNumberFormat="1" applyFont="1" applyBorder="1" applyProtection="1"/>
    <xf numFmtId="0" fontId="30" fillId="0" borderId="0" xfId="0" applyFont="1" applyBorder="1" applyAlignment="1">
      <alignment horizontal="right"/>
    </xf>
    <xf numFmtId="182" fontId="30" fillId="4" borderId="0" xfId="0" applyNumberFormat="1" applyFont="1" applyFill="1"/>
    <xf numFmtId="196" fontId="29" fillId="0" borderId="11" xfId="0" applyNumberFormat="1" applyFont="1" applyFill="1" applyBorder="1" applyAlignment="1" applyProtection="1">
      <alignment horizontal="right"/>
    </xf>
    <xf numFmtId="0" fontId="29" fillId="0" borderId="11" xfId="0" applyFont="1" applyFill="1" applyBorder="1" applyAlignment="1" applyProtection="1">
      <alignment horizontal="right"/>
    </xf>
    <xf numFmtId="0" fontId="3" fillId="0" borderId="42" xfId="76" applyFont="1" applyBorder="1"/>
    <xf numFmtId="187" fontId="50" fillId="0" borderId="11" xfId="3" applyNumberFormat="1" applyFont="1" applyFill="1" applyBorder="1" applyAlignment="1" applyProtection="1">
      <alignment horizontal="right"/>
      <protection locked="0"/>
    </xf>
    <xf numFmtId="0" fontId="50" fillId="0" borderId="12" xfId="0" applyFont="1" applyBorder="1" applyAlignment="1" applyProtection="1">
      <protection locked="0"/>
    </xf>
    <xf numFmtId="182" fontId="30" fillId="0" borderId="98" xfId="0" applyNumberFormat="1" applyFont="1" applyBorder="1" applyProtection="1">
      <protection locked="0"/>
    </xf>
    <xf numFmtId="0" fontId="34" fillId="0" borderId="0" xfId="0" applyNumberFormat="1" applyFont="1" applyBorder="1"/>
    <xf numFmtId="0" fontId="32" fillId="0" borderId="99" xfId="4" applyFont="1" applyBorder="1"/>
    <xf numFmtId="184" fontId="32" fillId="0" borderId="100" xfId="4" applyNumberFormat="1" applyFont="1" applyFill="1" applyBorder="1"/>
    <xf numFmtId="184" fontId="32" fillId="0" borderId="101" xfId="4" applyNumberFormat="1" applyFont="1" applyBorder="1"/>
    <xf numFmtId="184" fontId="32" fillId="0" borderId="102" xfId="4" applyNumberFormat="1" applyFont="1" applyBorder="1"/>
    <xf numFmtId="184" fontId="32" fillId="0" borderId="103" xfId="4" applyNumberFormat="1" applyFont="1" applyFill="1" applyBorder="1"/>
    <xf numFmtId="184" fontId="32" fillId="0" borderId="104" xfId="4" applyNumberFormat="1" applyFont="1" applyBorder="1"/>
    <xf numFmtId="0" fontId="32" fillId="0" borderId="105" xfId="4" applyFont="1" applyBorder="1"/>
    <xf numFmtId="184" fontId="32" fillId="0" borderId="106" xfId="4" applyNumberFormat="1" applyFont="1" applyFill="1" applyBorder="1"/>
    <xf numFmtId="184" fontId="32" fillId="0" borderId="107" xfId="4" applyNumberFormat="1" applyFont="1" applyBorder="1"/>
    <xf numFmtId="184" fontId="32" fillId="0" borderId="108" xfId="4" applyNumberFormat="1" applyFont="1" applyBorder="1"/>
    <xf numFmtId="0" fontId="32" fillId="0" borderId="110" xfId="4" applyFont="1" applyBorder="1"/>
    <xf numFmtId="184" fontId="32" fillId="0" borderId="112" xfId="4" applyNumberFormat="1" applyFont="1" applyFill="1" applyBorder="1"/>
    <xf numFmtId="0" fontId="32" fillId="0" borderId="117" xfId="4" applyFont="1" applyBorder="1" applyAlignment="1">
      <alignment horizontal="center"/>
    </xf>
    <xf numFmtId="182" fontId="32" fillId="0" borderId="101" xfId="4" applyNumberFormat="1" applyFont="1" applyBorder="1" applyAlignment="1">
      <alignment horizontal="center"/>
    </xf>
    <xf numFmtId="182" fontId="32" fillId="0" borderId="118" xfId="4" applyNumberFormat="1" applyFont="1" applyBorder="1" applyAlignment="1">
      <alignment horizontal="center"/>
    </xf>
    <xf numFmtId="169" fontId="32" fillId="0" borderId="109" xfId="2" applyNumberFormat="1" applyFont="1" applyBorder="1"/>
    <xf numFmtId="169" fontId="32" fillId="0" borderId="110" xfId="2" applyNumberFormat="1" applyFont="1" applyBorder="1"/>
    <xf numFmtId="169" fontId="32" fillId="0" borderId="111" xfId="2" applyNumberFormat="1" applyFont="1" applyBorder="1"/>
    <xf numFmtId="169" fontId="32" fillId="0" borderId="112" xfId="2" applyNumberFormat="1" applyFont="1" applyBorder="1"/>
    <xf numFmtId="169" fontId="32" fillId="0" borderId="113" xfId="2" applyNumberFormat="1" applyFont="1" applyBorder="1"/>
    <xf numFmtId="169" fontId="32" fillId="0" borderId="114" xfId="2" applyNumberFormat="1" applyFont="1" applyBorder="1"/>
    <xf numFmtId="169" fontId="32" fillId="0" borderId="115" xfId="2" applyNumberFormat="1" applyFont="1" applyBorder="1"/>
    <xf numFmtId="0" fontId="32" fillId="0" borderId="116" xfId="4" applyFont="1" applyBorder="1" applyAlignment="1">
      <alignment horizontal="left"/>
    </xf>
    <xf numFmtId="0" fontId="32" fillId="0" borderId="119" xfId="4" applyFont="1" applyBorder="1" applyAlignment="1">
      <alignment horizontal="left"/>
    </xf>
    <xf numFmtId="192" fontId="30" fillId="0" borderId="0" xfId="0" applyNumberFormat="1" applyFont="1" applyProtection="1"/>
    <xf numFmtId="10" fontId="29" fillId="0" borderId="0" xfId="0" applyNumberFormat="1" applyFont="1" applyFill="1" applyBorder="1"/>
    <xf numFmtId="10" fontId="29" fillId="0" borderId="0" xfId="0" applyNumberFormat="1" applyFont="1" applyBorder="1" applyAlignment="1">
      <alignment horizontal="center"/>
    </xf>
    <xf numFmtId="10" fontId="29" fillId="0" borderId="11" xfId="0" applyNumberFormat="1" applyFont="1" applyBorder="1" applyAlignment="1">
      <alignment horizontal="center"/>
    </xf>
    <xf numFmtId="0" fontId="34" fillId="0" borderId="11" xfId="0" applyNumberFormat="1" applyFont="1" applyBorder="1"/>
    <xf numFmtId="8" fontId="32" fillId="0" borderId="0" xfId="4" applyNumberFormat="1" applyFont="1" applyBorder="1"/>
    <xf numFmtId="42" fontId="32" fillId="0" borderId="0" xfId="4" applyNumberFormat="1" applyFont="1" applyBorder="1"/>
    <xf numFmtId="10" fontId="34" fillId="6" borderId="0" xfId="0" applyNumberFormat="1" applyFont="1" applyFill="1" applyProtection="1">
      <protection locked="0"/>
    </xf>
    <xf numFmtId="0" fontId="29" fillId="0" borderId="112" xfId="0" applyFont="1" applyBorder="1"/>
    <xf numFmtId="10" fontId="29" fillId="0" borderId="0" xfId="3" applyNumberFormat="1" applyFont="1"/>
    <xf numFmtId="0" fontId="52" fillId="15" borderId="0" xfId="77" applyFont="1" applyFill="1" applyAlignment="1"/>
    <xf numFmtId="0" fontId="2" fillId="15" borderId="0" xfId="77" applyFont="1" applyFill="1" applyAlignment="1"/>
    <xf numFmtId="0" fontId="47" fillId="16" borderId="0" xfId="77" applyFont="1" applyFill="1" applyAlignment="1"/>
    <xf numFmtId="0" fontId="51" fillId="16" borderId="0" xfId="77" applyFont="1" applyFill="1"/>
    <xf numFmtId="0" fontId="47" fillId="17" borderId="0" xfId="77" applyFont="1" applyFill="1" applyAlignment="1"/>
    <xf numFmtId="0" fontId="29" fillId="6" borderId="0" xfId="77" applyFont="1" applyFill="1" applyAlignment="1"/>
    <xf numFmtId="0" fontId="29" fillId="0" borderId="0" xfId="77" applyFont="1" applyFill="1" applyAlignment="1" applyProtection="1">
      <protection locked="0"/>
    </xf>
    <xf numFmtId="0" fontId="47" fillId="18" borderId="0" xfId="77" applyFont="1" applyFill="1" applyAlignment="1"/>
    <xf numFmtId="0" fontId="51" fillId="18" borderId="0" xfId="77" applyFont="1" applyFill="1"/>
    <xf numFmtId="10" fontId="29" fillId="0" borderId="0" xfId="77" applyNumberFormat="1" applyFont="1" applyFill="1" applyAlignment="1" applyProtection="1">
      <protection locked="0"/>
    </xf>
    <xf numFmtId="0" fontId="29" fillId="19" borderId="0" xfId="77" applyFont="1" applyFill="1" applyAlignment="1"/>
    <xf numFmtId="164" fontId="29" fillId="15" borderId="0" xfId="77" applyNumberFormat="1" applyFont="1" applyFill="1" applyAlignment="1"/>
    <xf numFmtId="9" fontId="29" fillId="15" borderId="0" xfId="77" applyNumberFormat="1" applyFont="1" applyFill="1"/>
    <xf numFmtId="168" fontId="29" fillId="20" borderId="0" xfId="77" applyNumberFormat="1" applyFont="1" applyFill="1"/>
    <xf numFmtId="168" fontId="29" fillId="0" borderId="0" xfId="77" applyNumberFormat="1" applyFont="1"/>
    <xf numFmtId="10" fontId="29" fillId="15" borderId="0" xfId="77" applyNumberFormat="1" applyFont="1" applyFill="1"/>
    <xf numFmtId="0" fontId="29" fillId="4" borderId="0" xfId="77" applyFont="1" applyFill="1" applyAlignment="1" applyProtection="1">
      <protection locked="0"/>
    </xf>
    <xf numFmtId="0" fontId="2" fillId="19" borderId="0" xfId="77" applyFont="1" applyFill="1" applyAlignment="1"/>
    <xf numFmtId="0" fontId="2" fillId="0" borderId="0" xfId="77" applyFont="1" applyAlignment="1" applyProtection="1">
      <protection locked="0"/>
    </xf>
    <xf numFmtId="164" fontId="29" fillId="0" borderId="0" xfId="77" applyNumberFormat="1" applyFont="1" applyFill="1" applyAlignment="1" applyProtection="1">
      <protection locked="0"/>
    </xf>
    <xf numFmtId="164" fontId="29" fillId="4" borderId="0" xfId="77" applyNumberFormat="1" applyFont="1" applyFill="1" applyAlignment="1" applyProtection="1">
      <protection locked="0"/>
    </xf>
    <xf numFmtId="9" fontId="29" fillId="15" borderId="0" xfId="77" applyNumberFormat="1" applyFont="1" applyFill="1" applyAlignment="1"/>
    <xf numFmtId="0" fontId="29" fillId="15" borderId="0" xfId="77" applyFont="1" applyFill="1" applyAlignment="1"/>
    <xf numFmtId="0" fontId="29" fillId="0" borderId="0" xfId="77" applyFont="1" applyAlignment="1" applyProtection="1">
      <protection locked="0"/>
    </xf>
    <xf numFmtId="198" fontId="29" fillId="15" borderId="0" xfId="77" applyNumberFormat="1" applyFont="1" applyFill="1"/>
    <xf numFmtId="199" fontId="29" fillId="0" borderId="0" xfId="77" applyNumberFormat="1" applyFont="1" applyFill="1" applyAlignment="1" applyProtection="1">
      <protection locked="0"/>
    </xf>
    <xf numFmtId="0" fontId="2" fillId="6" borderId="0" xfId="77" applyFont="1" applyFill="1" applyAlignment="1"/>
    <xf numFmtId="10" fontId="0" fillId="15" borderId="0" xfId="78" applyNumberFormat="1" applyFont="1" applyFill="1" applyAlignment="1"/>
    <xf numFmtId="200" fontId="29" fillId="0" borderId="0" xfId="77" applyNumberFormat="1" applyFont="1" applyAlignment="1" applyProtection="1">
      <protection locked="0"/>
    </xf>
    <xf numFmtId="201" fontId="29" fillId="15" borderId="0" xfId="77" applyNumberFormat="1" applyFont="1" applyFill="1"/>
    <xf numFmtId="200" fontId="29" fillId="0" borderId="0" xfId="77" applyNumberFormat="1" applyFont="1" applyFill="1" applyAlignment="1" applyProtection="1">
      <protection locked="0"/>
    </xf>
    <xf numFmtId="200" fontId="29" fillId="4" borderId="0" xfId="77" applyNumberFormat="1" applyFont="1" applyFill="1" applyAlignment="1" applyProtection="1">
      <protection locked="0"/>
    </xf>
    <xf numFmtId="200" fontId="29" fillId="15" borderId="0" xfId="77" applyNumberFormat="1" applyFont="1" applyFill="1"/>
    <xf numFmtId="9" fontId="29" fillId="4" borderId="0" xfId="77" applyNumberFormat="1" applyFont="1" applyFill="1" applyAlignment="1" applyProtection="1">
      <protection locked="0"/>
    </xf>
    <xf numFmtId="198" fontId="29" fillId="0" borderId="0" xfId="77" applyNumberFormat="1" applyFont="1" applyFill="1" applyAlignment="1" applyProtection="1">
      <protection locked="0"/>
    </xf>
    <xf numFmtId="202" fontId="29" fillId="15" borderId="0" xfId="77" applyNumberFormat="1" applyFont="1" applyFill="1"/>
    <xf numFmtId="9" fontId="29" fillId="0" borderId="0" xfId="77" applyNumberFormat="1" applyFont="1" applyFill="1" applyAlignment="1" applyProtection="1">
      <protection locked="0"/>
    </xf>
    <xf numFmtId="9" fontId="2" fillId="4" borderId="0" xfId="77" applyNumberFormat="1" applyFont="1" applyFill="1" applyAlignment="1" applyProtection="1">
      <protection locked="0"/>
    </xf>
    <xf numFmtId="0" fontId="47" fillId="21" borderId="0" xfId="77" applyFont="1" applyFill="1" applyAlignment="1"/>
    <xf numFmtId="0" fontId="51" fillId="21" borderId="0" xfId="77" applyFont="1" applyFill="1" applyAlignment="1"/>
    <xf numFmtId="0" fontId="29" fillId="15" borderId="109" xfId="77" applyFont="1" applyFill="1" applyBorder="1" applyAlignment="1"/>
    <xf numFmtId="0" fontId="47" fillId="17" borderId="3" xfId="77" applyFont="1" applyFill="1" applyBorder="1" applyAlignment="1"/>
    <xf numFmtId="0" fontId="47" fillId="17" borderId="4" xfId="77" applyFont="1" applyFill="1" applyBorder="1" applyAlignment="1">
      <alignment horizontal="right"/>
    </xf>
    <xf numFmtId="0" fontId="47" fillId="17" borderId="4" xfId="77" applyFont="1" applyFill="1" applyBorder="1" applyAlignment="1"/>
    <xf numFmtId="0" fontId="47" fillId="17" borderId="5" xfId="77" applyFont="1" applyFill="1" applyBorder="1" applyAlignment="1"/>
    <xf numFmtId="0" fontId="29" fillId="15" borderId="6" xfId="77" applyFont="1" applyFill="1" applyBorder="1" applyAlignment="1"/>
    <xf numFmtId="164" fontId="29" fillId="15" borderId="0" xfId="77" applyNumberFormat="1" applyFont="1" applyFill="1" applyBorder="1" applyAlignment="1"/>
    <xf numFmtId="200" fontId="29" fillId="15" borderId="0" xfId="77" applyNumberFormat="1" applyFont="1" applyFill="1" applyBorder="1"/>
    <xf numFmtId="200" fontId="29" fillId="15" borderId="7" xfId="77" applyNumberFormat="1" applyFont="1" applyFill="1" applyBorder="1"/>
    <xf numFmtId="0" fontId="30" fillId="20" borderId="6" xfId="77" applyFont="1" applyFill="1" applyBorder="1" applyAlignment="1"/>
    <xf numFmtId="200" fontId="29" fillId="20" borderId="0" xfId="77" applyNumberFormat="1" applyFont="1" applyFill="1" applyBorder="1" applyAlignment="1"/>
    <xf numFmtId="0" fontId="29" fillId="20" borderId="0" xfId="77" applyFont="1" applyFill="1" applyBorder="1"/>
    <xf numFmtId="0" fontId="29" fillId="20" borderId="7" xfId="77" applyFont="1" applyFill="1" applyBorder="1"/>
    <xf numFmtId="0" fontId="30" fillId="15" borderId="6" xfId="77" applyFont="1" applyFill="1" applyBorder="1" applyAlignment="1"/>
    <xf numFmtId="164" fontId="29" fillId="15" borderId="0" xfId="78" applyNumberFormat="1" applyFont="1" applyFill="1" applyBorder="1" applyAlignment="1"/>
    <xf numFmtId="200" fontId="29" fillId="15" borderId="0" xfId="77" applyNumberFormat="1" applyFont="1" applyFill="1" applyBorder="1" applyAlignment="1"/>
    <xf numFmtId="200" fontId="29" fillId="15" borderId="7" xfId="77" applyNumberFormat="1" applyFont="1" applyFill="1" applyBorder="1" applyAlignment="1"/>
    <xf numFmtId="0" fontId="30" fillId="15" borderId="8" xfId="77" applyFont="1" applyFill="1" applyBorder="1" applyAlignment="1"/>
    <xf numFmtId="164" fontId="29" fillId="15" borderId="9" xfId="78" applyNumberFormat="1" applyFont="1" applyFill="1" applyBorder="1" applyAlignment="1"/>
    <xf numFmtId="200" fontId="29" fillId="15" borderId="9" xfId="77" applyNumberFormat="1" applyFont="1" applyFill="1" applyBorder="1" applyAlignment="1"/>
    <xf numFmtId="200" fontId="29" fillId="15" borderId="10" xfId="77" applyNumberFormat="1" applyFont="1" applyFill="1" applyBorder="1" applyAlignment="1"/>
    <xf numFmtId="200" fontId="29" fillId="15" borderId="0" xfId="77" applyNumberFormat="1" applyFont="1" applyFill="1" applyAlignment="1"/>
    <xf numFmtId="182" fontId="29" fillId="0" borderId="0" xfId="77" applyNumberFormat="1" applyFont="1" applyFill="1" applyAlignment="1" applyProtection="1">
      <protection locked="0"/>
    </xf>
    <xf numFmtId="182" fontId="2" fillId="15" borderId="0" xfId="77" applyNumberFormat="1" applyFont="1" applyFill="1" applyAlignment="1"/>
    <xf numFmtId="184" fontId="29" fillId="0" borderId="0" xfId="3" applyNumberFormat="1" applyFont="1"/>
    <xf numFmtId="41" fontId="2" fillId="15" borderId="0" xfId="77" applyNumberFormat="1" applyFont="1" applyFill="1" applyAlignment="1"/>
    <xf numFmtId="0" fontId="29" fillId="0" borderId="0" xfId="0" applyFont="1" applyAlignment="1" applyProtection="1">
      <alignment horizontal="right"/>
    </xf>
    <xf numFmtId="165" fontId="34" fillId="0" borderId="0" xfId="3" applyNumberFormat="1" applyFont="1" applyFill="1" applyAlignment="1" applyProtection="1">
      <alignment horizontal="right"/>
      <protection locked="0"/>
    </xf>
    <xf numFmtId="198" fontId="29" fillId="0" borderId="0" xfId="77" applyNumberFormat="1" applyFont="1" applyFill="1" applyProtection="1">
      <protection locked="0"/>
    </xf>
    <xf numFmtId="0" fontId="55" fillId="6" borderId="0" xfId="77" applyFont="1" applyFill="1" applyAlignment="1"/>
    <xf numFmtId="200" fontId="55" fillId="4" borderId="0" xfId="77" applyNumberFormat="1" applyFont="1" applyFill="1" applyAlignment="1" applyProtection="1">
      <protection locked="0"/>
    </xf>
    <xf numFmtId="178" fontId="29" fillId="15" borderId="0" xfId="77" applyNumberFormat="1" applyFont="1" applyFill="1" applyAlignment="1"/>
    <xf numFmtId="178" fontId="29" fillId="0" borderId="0" xfId="77" applyNumberFormat="1" applyFont="1" applyFill="1" applyAlignment="1" applyProtection="1">
      <protection locked="0"/>
    </xf>
    <xf numFmtId="178" fontId="29" fillId="22" borderId="111" xfId="77" applyNumberFormat="1" applyFont="1" applyFill="1" applyBorder="1" applyAlignment="1" applyProtection="1">
      <protection locked="0"/>
    </xf>
    <xf numFmtId="178" fontId="2" fillId="22" borderId="115" xfId="77" applyNumberFormat="1" applyFont="1" applyFill="1" applyBorder="1" applyAlignment="1"/>
    <xf numFmtId="0" fontId="1" fillId="15" borderId="0" xfId="77" applyFont="1" applyFill="1" applyAlignment="1"/>
    <xf numFmtId="203" fontId="2" fillId="15" borderId="0" xfId="77" applyNumberFormat="1" applyFont="1" applyFill="1" applyAlignment="1"/>
    <xf numFmtId="193" fontId="29" fillId="0" borderId="109" xfId="0" applyNumberFormat="1" applyFont="1" applyBorder="1" applyProtection="1">
      <protection locked="0"/>
    </xf>
    <xf numFmtId="193" fontId="29" fillId="0" borderId="110" xfId="0" applyNumberFormat="1" applyFont="1" applyBorder="1" applyProtection="1">
      <protection locked="0"/>
    </xf>
    <xf numFmtId="193" fontId="29" fillId="0" borderId="111" xfId="0" applyNumberFormat="1" applyFont="1" applyBorder="1" applyProtection="1">
      <protection locked="0"/>
    </xf>
    <xf numFmtId="193" fontId="29" fillId="0" borderId="112" xfId="0" applyNumberFormat="1" applyFont="1" applyBorder="1" applyProtection="1">
      <protection locked="0"/>
    </xf>
    <xf numFmtId="193" fontId="29" fillId="0" borderId="11" xfId="0" applyNumberFormat="1" applyFont="1" applyBorder="1" applyProtection="1">
      <protection locked="0"/>
    </xf>
    <xf numFmtId="193" fontId="29" fillId="0" borderId="113" xfId="0" applyNumberFormat="1" applyFont="1" applyBorder="1" applyProtection="1">
      <protection locked="0"/>
    </xf>
    <xf numFmtId="193" fontId="29" fillId="0" borderId="114" xfId="0" applyNumberFormat="1" applyFont="1" applyBorder="1" applyProtection="1">
      <protection locked="0"/>
    </xf>
    <xf numFmtId="193" fontId="29" fillId="0" borderId="115" xfId="0" applyNumberFormat="1" applyFont="1" applyBorder="1" applyProtection="1">
      <protection locked="0"/>
    </xf>
    <xf numFmtId="0" fontId="1" fillId="15" borderId="113" xfId="77" applyFont="1" applyFill="1" applyBorder="1" applyAlignment="1"/>
    <xf numFmtId="0" fontId="29" fillId="24" borderId="0" xfId="77" applyFont="1" applyFill="1" applyAlignment="1"/>
    <xf numFmtId="182" fontId="32" fillId="0" borderId="0" xfId="4" applyNumberFormat="1" applyFont="1"/>
    <xf numFmtId="0" fontId="29" fillId="0" borderId="112" xfId="3" applyFont="1" applyBorder="1"/>
    <xf numFmtId="0" fontId="29" fillId="0" borderId="112" xfId="0" applyFont="1" applyBorder="1" applyProtection="1">
      <protection locked="0"/>
    </xf>
    <xf numFmtId="182" fontId="29" fillId="0" borderId="11" xfId="0" applyNumberFormat="1" applyFont="1" applyFill="1" applyBorder="1" applyProtection="1">
      <protection locked="0"/>
    </xf>
    <xf numFmtId="182" fontId="29" fillId="0" borderId="11" xfId="0" applyNumberFormat="1" applyFont="1" applyBorder="1" applyProtection="1">
      <protection locked="0"/>
    </xf>
    <xf numFmtId="0" fontId="29" fillId="0" borderId="112" xfId="0" applyFont="1" applyBorder="1" applyAlignment="1">
      <alignment horizontal="left" indent="1"/>
    </xf>
    <xf numFmtId="0" fontId="29" fillId="0" borderId="113" xfId="0" applyFont="1" applyBorder="1"/>
    <xf numFmtId="182" fontId="29" fillId="0" borderId="115" xfId="0" applyNumberFormat="1" applyFont="1" applyBorder="1" applyProtection="1"/>
    <xf numFmtId="204" fontId="29" fillId="0" borderId="11" xfId="0" applyNumberFormat="1" applyFont="1" applyFill="1" applyBorder="1" applyAlignment="1" applyProtection="1">
      <alignment horizontal="right"/>
    </xf>
    <xf numFmtId="196" fontId="34" fillId="9" borderId="42" xfId="0" applyNumberFormat="1" applyFont="1" applyFill="1" applyBorder="1" applyProtection="1">
      <protection locked="0"/>
    </xf>
    <xf numFmtId="196" fontId="34" fillId="9" borderId="54" xfId="0" applyNumberFormat="1" applyFont="1" applyFill="1" applyBorder="1" applyProtection="1">
      <protection locked="0"/>
    </xf>
    <xf numFmtId="195" fontId="29" fillId="0" borderId="85" xfId="0" applyNumberFormat="1" applyFont="1" applyFill="1" applyBorder="1" applyAlignment="1" applyProtection="1">
      <alignment horizontal="right"/>
    </xf>
    <xf numFmtId="0" fontId="0" fillId="0" borderId="0" xfId="0" applyAlignment="1"/>
    <xf numFmtId="0" fontId="0" fillId="0" borderId="0" xfId="0" applyAlignment="1">
      <alignment horizontal="center" vertical="center" wrapText="1"/>
    </xf>
    <xf numFmtId="0" fontId="12" fillId="0" borderId="56" xfId="3" applyFont="1" applyBorder="1" applyAlignment="1"/>
    <xf numFmtId="0" fontId="11" fillId="0" borderId="0" xfId="3" applyBorder="1" applyAlignment="1"/>
    <xf numFmtId="0" fontId="0" fillId="0" borderId="0" xfId="0" applyBorder="1" applyAlignment="1"/>
    <xf numFmtId="0" fontId="11" fillId="0" borderId="56" xfId="3" applyBorder="1" applyAlignment="1">
      <alignment horizontal="center"/>
    </xf>
    <xf numFmtId="0" fontId="12" fillId="0" borderId="56" xfId="0" applyFont="1" applyBorder="1" applyAlignment="1"/>
    <xf numFmtId="0" fontId="29" fillId="0" borderId="41" xfId="76" applyFont="1" applyBorder="1" applyAlignment="1">
      <alignment horizontal="right"/>
    </xf>
    <xf numFmtId="0" fontId="29" fillId="0" borderId="42" xfId="76" applyFont="1" applyBorder="1" applyAlignment="1">
      <alignment horizontal="right"/>
    </xf>
    <xf numFmtId="0" fontId="34" fillId="11" borderId="42" xfId="76" applyFont="1" applyFill="1" applyBorder="1" applyAlignment="1" applyProtection="1">
      <alignment horizontal="right"/>
      <protection locked="0"/>
    </xf>
    <xf numFmtId="49" fontId="34" fillId="11" borderId="42" xfId="76" applyNumberFormat="1" applyFont="1" applyFill="1" applyBorder="1" applyAlignment="1" applyProtection="1">
      <alignment horizontal="right"/>
      <protection locked="0"/>
    </xf>
    <xf numFmtId="179" fontId="29" fillId="0" borderId="42" xfId="76" applyNumberFormat="1" applyFont="1" applyBorder="1" applyAlignment="1">
      <alignment horizontal="right"/>
    </xf>
    <xf numFmtId="10" fontId="29" fillId="0" borderId="42" xfId="76" applyNumberFormat="1" applyFont="1" applyBorder="1" applyAlignment="1">
      <alignment horizontal="right"/>
    </xf>
    <xf numFmtId="178" fontId="29" fillId="0" borderId="42" xfId="76" applyNumberFormat="1" applyFont="1" applyBorder="1" applyAlignment="1">
      <alignment horizontal="right"/>
    </xf>
    <xf numFmtId="10" fontId="29" fillId="0" borderId="54" xfId="76" applyNumberFormat="1" applyFont="1" applyBorder="1" applyAlignment="1">
      <alignment horizontal="right"/>
    </xf>
    <xf numFmtId="0" fontId="34" fillId="11" borderId="41" xfId="76" applyFont="1" applyFill="1" applyBorder="1" applyAlignment="1" applyProtection="1">
      <alignment horizontal="right"/>
      <protection locked="0"/>
    </xf>
    <xf numFmtId="49" fontId="34" fillId="11" borderId="54" xfId="76" applyNumberFormat="1" applyFont="1" applyFill="1" applyBorder="1" applyAlignment="1" applyProtection="1">
      <alignment horizontal="right"/>
      <protection locked="0"/>
    </xf>
    <xf numFmtId="49" fontId="34" fillId="11" borderId="41" xfId="76" applyNumberFormat="1" applyFont="1" applyFill="1" applyBorder="1" applyAlignment="1" applyProtection="1">
      <alignment horizontal="right"/>
      <protection locked="0"/>
    </xf>
    <xf numFmtId="0" fontId="34" fillId="11" borderId="54" xfId="76" applyFont="1" applyFill="1" applyBorder="1" applyAlignment="1" applyProtection="1">
      <alignment horizontal="right"/>
      <protection locked="0"/>
    </xf>
    <xf numFmtId="0" fontId="46" fillId="0" borderId="0" xfId="3" applyFont="1"/>
    <xf numFmtId="0" fontId="15" fillId="0" borderId="0" xfId="3" applyFont="1" applyBorder="1" applyAlignment="1">
      <alignment vertical="center"/>
    </xf>
    <xf numFmtId="173" fontId="15" fillId="3" borderId="0" xfId="2" applyNumberFormat="1" applyFont="1" applyFill="1" applyBorder="1" applyAlignment="1" applyProtection="1">
      <alignment horizontal="left" vertical="center"/>
    </xf>
    <xf numFmtId="175" fontId="15" fillId="3" borderId="0" xfId="2" applyNumberFormat="1" applyFont="1" applyFill="1" applyBorder="1" applyAlignment="1" applyProtection="1">
      <alignment horizontal="left" vertical="center"/>
    </xf>
    <xf numFmtId="0" fontId="15" fillId="3" borderId="0" xfId="2" applyNumberFormat="1" applyFont="1" applyFill="1" applyBorder="1" applyAlignment="1" applyProtection="1">
      <alignment horizontal="left" vertical="center"/>
    </xf>
    <xf numFmtId="164" fontId="15" fillId="3" borderId="0" xfId="2" applyNumberFormat="1" applyFont="1" applyFill="1" applyBorder="1" applyAlignment="1" applyProtection="1">
      <alignment horizontal="left" vertical="center"/>
    </xf>
    <xf numFmtId="174" fontId="15" fillId="3" borderId="0" xfId="2" applyNumberFormat="1" applyFont="1" applyFill="1" applyBorder="1" applyAlignment="1" applyProtection="1">
      <alignment horizontal="left" vertical="center"/>
    </xf>
    <xf numFmtId="0" fontId="15" fillId="0" borderId="1" xfId="3" applyFont="1" applyBorder="1"/>
    <xf numFmtId="0" fontId="19" fillId="0" borderId="1" xfId="3" applyFont="1" applyBorder="1"/>
    <xf numFmtId="0" fontId="15" fillId="0" borderId="1" xfId="3" applyFont="1" applyBorder="1" applyAlignment="1">
      <alignment horizontal="center" wrapText="1"/>
    </xf>
    <xf numFmtId="0" fontId="15" fillId="0" borderId="1" xfId="3" applyFont="1" applyBorder="1" applyAlignment="1">
      <alignment horizontal="right"/>
    </xf>
    <xf numFmtId="167" fontId="19" fillId="0" borderId="0" xfId="3" applyNumberFormat="1" applyFont="1"/>
    <xf numFmtId="0" fontId="19" fillId="0" borderId="0" xfId="3" applyFont="1" applyAlignment="1">
      <alignment horizontal="left" indent="1"/>
    </xf>
    <xf numFmtId="0" fontId="19" fillId="0" borderId="1" xfId="3" applyFont="1" applyBorder="1" applyAlignment="1">
      <alignment horizontal="center"/>
    </xf>
    <xf numFmtId="167" fontId="19" fillId="0" borderId="1" xfId="3" applyNumberFormat="1" applyFont="1" applyBorder="1"/>
    <xf numFmtId="167" fontId="15" fillId="0" borderId="0" xfId="3" applyNumberFormat="1" applyFont="1"/>
    <xf numFmtId="167" fontId="59" fillId="0" borderId="0" xfId="5" applyNumberFormat="1" applyFont="1" applyAlignment="1"/>
    <xf numFmtId="9" fontId="59" fillId="0" borderId="0" xfId="5" applyNumberFormat="1" applyFont="1" applyAlignment="1">
      <alignment horizontal="left"/>
    </xf>
    <xf numFmtId="172" fontId="46" fillId="3" borderId="79" xfId="2" applyNumberFormat="1" applyFont="1" applyFill="1" applyBorder="1" applyAlignment="1" applyProtection="1">
      <alignment horizontal="center" vertical="center"/>
    </xf>
    <xf numFmtId="173" fontId="57" fillId="3" borderId="82" xfId="3" applyNumberFormat="1" applyFont="1" applyFill="1" applyBorder="1" applyAlignment="1">
      <alignment horizontal="center" vertical="center"/>
    </xf>
    <xf numFmtId="0" fontId="18" fillId="2" borderId="77" xfId="3" applyFont="1" applyFill="1" applyBorder="1" applyAlignment="1">
      <alignment horizontal="center" vertical="center" wrapText="1"/>
    </xf>
    <xf numFmtId="0" fontId="22" fillId="0" borderId="0" xfId="3" applyFont="1" applyAlignment="1"/>
    <xf numFmtId="0" fontId="12" fillId="0" borderId="0" xfId="0" applyFont="1" applyBorder="1" applyAlignment="1"/>
    <xf numFmtId="0" fontId="30" fillId="7" borderId="120" xfId="0" applyFont="1" applyFill="1" applyBorder="1" applyAlignment="1">
      <alignment horizontal="center"/>
    </xf>
    <xf numFmtId="0" fontId="30" fillId="7" borderId="121" xfId="0" applyFont="1" applyFill="1" applyBorder="1" applyAlignment="1">
      <alignment horizontal="center"/>
    </xf>
    <xf numFmtId="0" fontId="30" fillId="7" borderId="13" xfId="0" applyFont="1" applyFill="1" applyBorder="1" applyAlignment="1">
      <alignment horizontal="center"/>
    </xf>
    <xf numFmtId="0" fontId="30" fillId="7" borderId="14" xfId="0" applyFont="1" applyFill="1" applyBorder="1" applyAlignment="1">
      <alignment horizontal="center"/>
    </xf>
    <xf numFmtId="0" fontId="30" fillId="7" borderId="15" xfId="0" applyFont="1" applyFill="1" applyBorder="1" applyAlignment="1">
      <alignment horizontal="center"/>
    </xf>
    <xf numFmtId="0" fontId="34" fillId="6" borderId="0" xfId="0" applyFont="1" applyFill="1" applyBorder="1" applyAlignment="1" applyProtection="1">
      <protection locked="0"/>
    </xf>
    <xf numFmtId="0" fontId="0" fillId="0" borderId="0" xfId="0" applyAlignment="1"/>
    <xf numFmtId="0" fontId="0" fillId="0" borderId="11" xfId="0" applyBorder="1" applyAlignment="1"/>
    <xf numFmtId="10" fontId="29" fillId="23" borderId="0" xfId="0" applyNumberFormat="1" applyFont="1" applyFill="1" applyBorder="1" applyAlignment="1">
      <alignment horizontal="center"/>
    </xf>
    <xf numFmtId="0" fontId="30" fillId="7" borderId="86" xfId="0" applyFont="1" applyFill="1" applyBorder="1" applyAlignment="1" applyProtection="1">
      <alignment horizontal="center"/>
    </xf>
    <xf numFmtId="0" fontId="30" fillId="7" borderId="87" xfId="0" applyFont="1" applyFill="1" applyBorder="1" applyAlignment="1" applyProtection="1">
      <alignment horizontal="center"/>
    </xf>
    <xf numFmtId="0" fontId="30" fillId="7" borderId="88" xfId="0" applyFont="1" applyFill="1" applyBorder="1" applyAlignment="1" applyProtection="1">
      <alignment horizontal="center"/>
    </xf>
    <xf numFmtId="0" fontId="30" fillId="7" borderId="13" xfId="0" applyFont="1" applyFill="1" applyBorder="1" applyAlignment="1" applyProtection="1">
      <alignment horizontal="center"/>
    </xf>
    <xf numFmtId="0" fontId="30" fillId="7" borderId="14" xfId="0" applyFont="1" applyFill="1" applyBorder="1" applyAlignment="1" applyProtection="1">
      <alignment horizontal="center"/>
    </xf>
    <xf numFmtId="0" fontId="30" fillId="7" borderId="15" xfId="0" applyFont="1" applyFill="1" applyBorder="1" applyAlignment="1" applyProtection="1">
      <alignment horizontal="center"/>
    </xf>
    <xf numFmtId="0" fontId="30" fillId="0" borderId="24" xfId="0" applyFont="1" applyFill="1" applyBorder="1" applyAlignment="1" applyProtection="1">
      <alignment horizontal="center"/>
    </xf>
    <xf numFmtId="0" fontId="30" fillId="0" borderId="23" xfId="0" applyFont="1" applyFill="1" applyBorder="1" applyAlignment="1" applyProtection="1">
      <alignment horizontal="center"/>
    </xf>
    <xf numFmtId="0" fontId="58" fillId="12" borderId="0" xfId="0" applyFont="1" applyFill="1" applyAlignment="1">
      <alignment horizontal="center" vertical="center"/>
    </xf>
    <xf numFmtId="0" fontId="0" fillId="0" borderId="56" xfId="0" applyBorder="1" applyAlignment="1"/>
    <xf numFmtId="0" fontId="46" fillId="0" borderId="6" xfId="3" applyFont="1" applyFill="1" applyBorder="1" applyAlignment="1">
      <alignment horizontal="center" vertical="center"/>
    </xf>
    <xf numFmtId="0" fontId="46" fillId="0" borderId="7" xfId="0" applyFont="1" applyBorder="1" applyAlignment="1">
      <alignment horizontal="center" vertical="center"/>
    </xf>
    <xf numFmtId="0" fontId="46" fillId="0" borderId="7" xfId="3" applyFont="1" applyFill="1" applyBorder="1" applyAlignment="1">
      <alignment horizontal="center" vertical="center"/>
    </xf>
    <xf numFmtId="172" fontId="46" fillId="0" borderId="80" xfId="3" applyNumberFormat="1" applyFont="1" applyFill="1" applyBorder="1" applyAlignment="1">
      <alignment horizontal="center" vertical="center"/>
    </xf>
    <xf numFmtId="0" fontId="46" fillId="0" borderId="81" xfId="0" applyFont="1" applyBorder="1" applyAlignment="1">
      <alignment horizontal="center" vertical="center"/>
    </xf>
    <xf numFmtId="172" fontId="18" fillId="2" borderId="6" xfId="2" applyNumberFormat="1" applyFont="1" applyFill="1" applyBorder="1" applyAlignment="1" applyProtection="1">
      <alignment horizontal="center" vertical="center"/>
    </xf>
    <xf numFmtId="172" fontId="27" fillId="2" borderId="75" xfId="2" applyNumberFormat="1" applyFont="1" applyFill="1" applyBorder="1" applyAlignment="1" applyProtection="1">
      <alignment horizontal="center" vertical="center"/>
    </xf>
    <xf numFmtId="0" fontId="17" fillId="0" borderId="76" xfId="0" applyFont="1" applyBorder="1" applyAlignment="1">
      <alignment horizontal="center" vertical="center"/>
    </xf>
    <xf numFmtId="172" fontId="46" fillId="0" borderId="78" xfId="2" applyNumberFormat="1" applyFont="1" applyFill="1" applyBorder="1" applyAlignment="1" applyProtection="1">
      <alignment horizontal="center" vertical="center"/>
    </xf>
    <xf numFmtId="0" fontId="46" fillId="0" borderId="42" xfId="0" applyFont="1" applyBorder="1" applyAlignment="1">
      <alignment horizontal="center" vertical="center"/>
    </xf>
    <xf numFmtId="172" fontId="46" fillId="0" borderId="6" xfId="2" applyNumberFormat="1" applyFont="1" applyFill="1" applyBorder="1" applyAlignment="1" applyProtection="1">
      <alignment horizontal="center" vertical="center"/>
    </xf>
    <xf numFmtId="0" fontId="17" fillId="0" borderId="65" xfId="3" applyFont="1" applyBorder="1" applyAlignment="1"/>
    <xf numFmtId="0" fontId="17" fillId="0" borderId="66" xfId="3" applyFont="1" applyBorder="1" applyAlignment="1"/>
    <xf numFmtId="0" fontId="17" fillId="0" borderId="67" xfId="3" applyFont="1" applyBorder="1" applyAlignment="1"/>
    <xf numFmtId="0" fontId="11" fillId="0" borderId="63" xfId="3" applyBorder="1" applyAlignment="1"/>
    <xf numFmtId="0" fontId="11" fillId="0" borderId="64" xfId="3" applyBorder="1" applyAlignment="1"/>
    <xf numFmtId="0" fontId="17" fillId="0" borderId="68" xfId="3" applyFont="1" applyBorder="1" applyAlignment="1"/>
    <xf numFmtId="0" fontId="17" fillId="0" borderId="69" xfId="3" applyFont="1" applyBorder="1" applyAlignment="1"/>
    <xf numFmtId="0" fontId="17" fillId="0" borderId="70" xfId="3" applyFont="1" applyBorder="1" applyAlignment="1"/>
    <xf numFmtId="0" fontId="11" fillId="0" borderId="56" xfId="3" applyBorder="1" applyAlignment="1"/>
    <xf numFmtId="0" fontId="11" fillId="0" borderId="62" xfId="3" applyBorder="1" applyAlignment="1"/>
    <xf numFmtId="0" fontId="22" fillId="4" borderId="59" xfId="3" applyFont="1" applyFill="1" applyBorder="1" applyAlignment="1"/>
    <xf numFmtId="0" fontId="17" fillId="4" borderId="60" xfId="0" applyFont="1" applyFill="1" applyBorder="1" applyAlignment="1"/>
    <xf numFmtId="0" fontId="17" fillId="4" borderId="61" xfId="0" applyFont="1" applyFill="1" applyBorder="1" applyAlignment="1"/>
    <xf numFmtId="0" fontId="14" fillId="0" borderId="59" xfId="3" applyFont="1" applyBorder="1" applyAlignment="1">
      <alignment horizontal="center"/>
    </xf>
    <xf numFmtId="0" fontId="14" fillId="0" borderId="60" xfId="3" applyFont="1" applyBorder="1" applyAlignment="1">
      <alignment horizontal="center"/>
    </xf>
    <xf numFmtId="0" fontId="14" fillId="0" borderId="61" xfId="3" applyFont="1" applyBorder="1" applyAlignment="1">
      <alignment horizontal="center"/>
    </xf>
    <xf numFmtId="0" fontId="56" fillId="2" borderId="3" xfId="3" applyFont="1" applyFill="1" applyBorder="1" applyAlignment="1">
      <alignment horizontal="center" vertical="center"/>
    </xf>
    <xf numFmtId="0" fontId="56" fillId="2" borderId="4" xfId="3" applyFont="1" applyFill="1" applyBorder="1" applyAlignment="1">
      <alignment horizontal="center" vertical="center"/>
    </xf>
    <xf numFmtId="0" fontId="56" fillId="2" borderId="5" xfId="3" applyFont="1" applyFill="1" applyBorder="1" applyAlignment="1">
      <alignment horizontal="center" vertical="center"/>
    </xf>
    <xf numFmtId="0" fontId="18" fillId="2" borderId="3" xfId="3" applyFont="1" applyFill="1" applyBorder="1" applyAlignment="1">
      <alignment horizontal="center" vertical="center"/>
    </xf>
    <xf numFmtId="0" fontId="46" fillId="0" borderId="5" xfId="0" applyFont="1" applyBorder="1" applyAlignment="1">
      <alignment horizontal="center" vertical="center"/>
    </xf>
    <xf numFmtId="0" fontId="46" fillId="0" borderId="6" xfId="0" applyFont="1" applyBorder="1" applyAlignment="1">
      <alignment horizontal="center" vertical="center"/>
    </xf>
    <xf numFmtId="172" fontId="18" fillId="2" borderId="59" xfId="2" applyNumberFormat="1" applyFont="1" applyFill="1" applyBorder="1" applyAlignment="1" applyProtection="1">
      <alignment horizontal="center" vertical="center"/>
    </xf>
    <xf numFmtId="0" fontId="46" fillId="0" borderId="61" xfId="0" applyFont="1" applyBorder="1" applyAlignment="1">
      <alignment horizontal="center" vertical="center"/>
    </xf>
    <xf numFmtId="0" fontId="18" fillId="2" borderId="59" xfId="3" applyFont="1" applyFill="1" applyBorder="1" applyAlignment="1">
      <alignment horizontal="center" vertical="center"/>
    </xf>
    <xf numFmtId="0" fontId="18" fillId="2" borderId="60" xfId="3" applyFont="1" applyFill="1" applyBorder="1" applyAlignment="1">
      <alignment horizontal="center" vertical="center"/>
    </xf>
    <xf numFmtId="0" fontId="18" fillId="2" borderId="61" xfId="3" applyFont="1" applyFill="1" applyBorder="1" applyAlignment="1">
      <alignment horizontal="center" vertical="center"/>
    </xf>
    <xf numFmtId="0" fontId="16" fillId="0" borderId="59" xfId="3" applyFont="1" applyBorder="1" applyAlignment="1">
      <alignment horizontal="center" vertical="center"/>
    </xf>
    <xf numFmtId="0" fontId="12" fillId="0" borderId="56" xfId="3" applyFont="1" applyBorder="1" applyAlignment="1"/>
    <xf numFmtId="0" fontId="61" fillId="0" borderId="0" xfId="3" applyFont="1" applyAlignment="1">
      <alignment horizontal="center" wrapText="1"/>
    </xf>
    <xf numFmtId="0" fontId="17" fillId="0" borderId="0" xfId="0" applyFont="1" applyAlignment="1">
      <alignment horizontal="center" wrapText="1"/>
    </xf>
    <xf numFmtId="0" fontId="0" fillId="0" borderId="0" xfId="0" applyFont="1" applyAlignment="1">
      <alignment wrapText="1"/>
    </xf>
    <xf numFmtId="0" fontId="0" fillId="0" borderId="0" xfId="0" applyFont="1" applyAlignment="1"/>
    <xf numFmtId="0" fontId="14" fillId="0" borderId="0" xfId="3" applyFont="1" applyAlignment="1">
      <alignment horizontal="center"/>
    </xf>
    <xf numFmtId="172" fontId="46" fillId="0" borderId="59" xfId="3" applyNumberFormat="1" applyFont="1" applyFill="1" applyBorder="1" applyAlignment="1">
      <alignment horizontal="center" vertical="center"/>
    </xf>
    <xf numFmtId="0" fontId="17" fillId="8" borderId="0" xfId="3" applyFont="1" applyFill="1" applyAlignment="1">
      <alignment horizontal="right"/>
    </xf>
    <xf numFmtId="0" fontId="17" fillId="0" borderId="0" xfId="0" applyFont="1" applyAlignment="1"/>
    <xf numFmtId="0" fontId="11" fillId="0" borderId="0" xfId="3" applyBorder="1" applyAlignment="1"/>
    <xf numFmtId="0" fontId="0" fillId="0" borderId="0" xfId="0" applyBorder="1" applyAlignment="1"/>
    <xf numFmtId="0" fontId="0" fillId="0" borderId="9" xfId="0" applyBorder="1" applyAlignment="1"/>
    <xf numFmtId="0" fontId="16" fillId="0" borderId="4" xfId="3" applyFont="1" applyBorder="1" applyAlignment="1">
      <alignment horizontal="center" vertical="center"/>
    </xf>
    <xf numFmtId="0" fontId="46" fillId="0" borderId="4" xfId="0" applyFont="1" applyBorder="1" applyAlignment="1"/>
    <xf numFmtId="0" fontId="46" fillId="0" borderId="0" xfId="0" applyFont="1" applyAlignment="1"/>
    <xf numFmtId="0" fontId="17" fillId="0" borderId="0" xfId="3" applyFont="1" applyAlignment="1">
      <alignment horizontal="center" vertical="center" wrapText="1"/>
    </xf>
    <xf numFmtId="0" fontId="17" fillId="0" borderId="0" xfId="0" applyFont="1" applyAlignment="1">
      <alignment horizontal="center" vertical="center" wrapText="1"/>
    </xf>
    <xf numFmtId="0" fontId="60" fillId="0" borderId="0" xfId="3" applyFont="1" applyAlignment="1">
      <alignment horizontal="center"/>
    </xf>
    <xf numFmtId="0" fontId="17" fillId="0" borderId="0" xfId="0" applyFont="1" applyAlignment="1">
      <alignment horizontal="center"/>
    </xf>
    <xf numFmtId="0" fontId="0" fillId="0" borderId="56" xfId="3" applyFont="1" applyBorder="1" applyAlignment="1"/>
    <xf numFmtId="0" fontId="22" fillId="0" borderId="0" xfId="3" applyFont="1" applyBorder="1" applyAlignment="1">
      <alignment horizontal="right" vertical="center" wrapText="1"/>
    </xf>
    <xf numFmtId="0" fontId="17" fillId="0" borderId="57" xfId="0" applyFont="1" applyBorder="1" applyAlignment="1"/>
    <xf numFmtId="0" fontId="17" fillId="8" borderId="56" xfId="3" applyFont="1" applyFill="1" applyBorder="1" applyAlignment="1">
      <alignment horizontal="center"/>
    </xf>
    <xf numFmtId="0" fontId="17" fillId="0" borderId="0" xfId="3" applyFont="1" applyAlignment="1">
      <alignment horizontal="center" wrapText="1"/>
    </xf>
    <xf numFmtId="0" fontId="11" fillId="0" borderId="56" xfId="3" applyBorder="1" applyAlignment="1">
      <alignment horizontal="center"/>
    </xf>
    <xf numFmtId="0" fontId="0" fillId="0" borderId="56" xfId="0" applyBorder="1" applyAlignment="1">
      <alignment horizontal="center"/>
    </xf>
    <xf numFmtId="0" fontId="20" fillId="0" borderId="0" xfId="3" applyFont="1" applyBorder="1" applyAlignment="1">
      <alignment horizontal="center"/>
    </xf>
    <xf numFmtId="0" fontId="21" fillId="0" borderId="0" xfId="0" applyFont="1" applyAlignment="1">
      <alignment horizontal="center"/>
    </xf>
    <xf numFmtId="0" fontId="20" fillId="8" borderId="0" xfId="3" applyFont="1" applyFill="1" applyAlignment="1">
      <alignment horizontal="center"/>
    </xf>
    <xf numFmtId="0" fontId="21" fillId="0" borderId="0" xfId="0" applyFont="1" applyAlignment="1"/>
    <xf numFmtId="0" fontId="22" fillId="0" borderId="0" xfId="3" applyFont="1" applyAlignment="1">
      <alignment horizontal="center"/>
    </xf>
    <xf numFmtId="0" fontId="0" fillId="0" borderId="0" xfId="0" applyAlignment="1">
      <alignment horizontal="center"/>
    </xf>
    <xf numFmtId="0" fontId="17" fillId="8" borderId="0" xfId="3" applyFont="1" applyFill="1" applyAlignment="1">
      <alignment horizontal="center" vertical="center" wrapText="1"/>
    </xf>
    <xf numFmtId="0" fontId="17" fillId="0" borderId="127" xfId="3" applyFont="1" applyBorder="1" applyAlignment="1"/>
    <xf numFmtId="0" fontId="17" fillId="0" borderId="128" xfId="3" applyFont="1" applyBorder="1" applyAlignment="1"/>
    <xf numFmtId="0" fontId="17" fillId="0" borderId="128" xfId="0" applyFont="1" applyBorder="1" applyAlignment="1"/>
    <xf numFmtId="0" fontId="17" fillId="0" borderId="129" xfId="0" applyFont="1" applyBorder="1" applyAlignment="1"/>
    <xf numFmtId="0" fontId="0" fillId="0" borderId="71" xfId="0" applyBorder="1" applyAlignment="1"/>
    <xf numFmtId="0" fontId="0" fillId="0" borderId="72" xfId="0" applyBorder="1" applyAlignment="1"/>
    <xf numFmtId="0" fontId="22" fillId="4" borderId="60" xfId="3" applyFont="1" applyFill="1" applyBorder="1" applyAlignment="1"/>
    <xf numFmtId="0" fontId="0" fillId="0" borderId="61" xfId="0" applyBorder="1" applyAlignment="1"/>
    <xf numFmtId="0" fontId="11" fillId="0" borderId="126" xfId="3" applyBorder="1" applyAlignment="1"/>
    <xf numFmtId="0" fontId="11" fillId="0" borderId="71" xfId="3" applyBorder="1" applyAlignment="1"/>
    <xf numFmtId="0" fontId="11" fillId="0" borderId="72" xfId="3" applyBorder="1" applyAlignment="1"/>
    <xf numFmtId="0" fontId="11" fillId="0" borderId="125" xfId="3" applyBorder="1" applyAlignment="1"/>
    <xf numFmtId="172" fontId="46" fillId="0" borderId="7" xfId="2" applyNumberFormat="1" applyFont="1" applyFill="1" applyBorder="1" applyAlignment="1" applyProtection="1">
      <alignment horizontal="center" vertical="center"/>
    </xf>
    <xf numFmtId="172" fontId="46" fillId="0" borderId="11" xfId="2" applyNumberFormat="1" applyFont="1" applyFill="1" applyBorder="1" applyAlignment="1" applyProtection="1">
      <alignment horizontal="center" vertical="center"/>
    </xf>
    <xf numFmtId="0" fontId="11" fillId="0" borderId="9" xfId="3" applyBorder="1" applyAlignment="1"/>
    <xf numFmtId="0" fontId="16" fillId="0" borderId="0" xfId="3" applyFont="1" applyBorder="1" applyAlignment="1">
      <alignment horizontal="center" vertical="center"/>
    </xf>
    <xf numFmtId="0" fontId="56" fillId="2" borderId="59" xfId="3" applyFont="1" applyFill="1" applyBorder="1" applyAlignment="1">
      <alignment horizontal="center" vertical="center"/>
    </xf>
    <xf numFmtId="0" fontId="56" fillId="2" borderId="60" xfId="3" applyFont="1" applyFill="1" applyBorder="1" applyAlignment="1">
      <alignment horizontal="center" vertical="center"/>
    </xf>
    <xf numFmtId="0" fontId="56" fillId="2" borderId="61" xfId="3" applyFont="1" applyFill="1" applyBorder="1" applyAlignment="1">
      <alignment horizontal="center" vertical="center"/>
    </xf>
    <xf numFmtId="0" fontId="18" fillId="2" borderId="5" xfId="3" applyFont="1" applyFill="1" applyBorder="1" applyAlignment="1">
      <alignment horizontal="center" vertical="center"/>
    </xf>
    <xf numFmtId="0" fontId="18" fillId="2" borderId="6" xfId="3" applyFont="1" applyFill="1" applyBorder="1" applyAlignment="1">
      <alignment horizontal="center" vertical="center"/>
    </xf>
    <xf numFmtId="0" fontId="18" fillId="2" borderId="7" xfId="3" applyFont="1" applyFill="1" applyBorder="1" applyAlignment="1">
      <alignment horizontal="center" vertical="center"/>
    </xf>
    <xf numFmtId="172" fontId="18" fillId="2" borderId="61" xfId="2" applyNumberFormat="1" applyFont="1" applyFill="1" applyBorder="1" applyAlignment="1" applyProtection="1">
      <alignment horizontal="center" vertical="center"/>
    </xf>
    <xf numFmtId="172" fontId="18" fillId="2" borderId="3" xfId="2" applyNumberFormat="1" applyFont="1" applyFill="1" applyBorder="1" applyAlignment="1" applyProtection="1">
      <alignment horizontal="center" vertical="center"/>
    </xf>
    <xf numFmtId="172" fontId="18" fillId="2" borderId="5" xfId="2" applyNumberFormat="1" applyFont="1" applyFill="1" applyBorder="1" applyAlignment="1" applyProtection="1">
      <alignment horizontal="center" vertical="center"/>
    </xf>
    <xf numFmtId="172" fontId="27" fillId="2" borderId="3" xfId="2" applyNumberFormat="1" applyFont="1" applyFill="1" applyBorder="1" applyAlignment="1" applyProtection="1">
      <alignment horizontal="center" vertical="center"/>
    </xf>
    <xf numFmtId="172" fontId="27" fillId="2" borderId="124" xfId="2" applyNumberFormat="1" applyFont="1" applyFill="1" applyBorder="1" applyAlignment="1" applyProtection="1">
      <alignment horizontal="center" vertical="center"/>
    </xf>
    <xf numFmtId="0" fontId="46" fillId="0" borderId="8" xfId="3" applyFont="1" applyFill="1" applyBorder="1" applyAlignment="1">
      <alignment horizontal="center" vertical="center"/>
    </xf>
    <xf numFmtId="0" fontId="46" fillId="0" borderId="10" xfId="3" applyFont="1" applyFill="1" applyBorder="1" applyAlignment="1">
      <alignment horizontal="center" vertical="center"/>
    </xf>
    <xf numFmtId="172" fontId="46" fillId="0" borderId="8" xfId="2" applyNumberFormat="1" applyFont="1" applyFill="1" applyBorder="1" applyAlignment="1" applyProtection="1">
      <alignment horizontal="center" vertical="center"/>
    </xf>
    <xf numFmtId="172" fontId="46" fillId="0" borderId="10" xfId="2" applyNumberFormat="1" applyFont="1" applyFill="1" applyBorder="1" applyAlignment="1" applyProtection="1">
      <alignment horizontal="center" vertical="center"/>
    </xf>
    <xf numFmtId="172" fontId="46" fillId="0" borderId="123" xfId="2" applyNumberFormat="1" applyFont="1" applyFill="1" applyBorder="1" applyAlignment="1" applyProtection="1">
      <alignment horizontal="center" vertical="center"/>
    </xf>
    <xf numFmtId="0" fontId="16" fillId="0" borderId="61" xfId="3" applyFont="1" applyBorder="1" applyAlignment="1">
      <alignment horizontal="center" vertical="center"/>
    </xf>
    <xf numFmtId="172" fontId="46" fillId="0" borderId="61" xfId="3" applyNumberFormat="1" applyFont="1" applyFill="1" applyBorder="1" applyAlignment="1">
      <alignment horizontal="center" vertical="center"/>
    </xf>
    <xf numFmtId="172" fontId="46" fillId="0" borderId="122" xfId="3" applyNumberFormat="1" applyFont="1" applyFill="1" applyBorder="1" applyAlignment="1">
      <alignment horizontal="center" vertical="center"/>
    </xf>
    <xf numFmtId="0" fontId="28" fillId="7" borderId="13" xfId="76" applyFont="1" applyFill="1" applyBorder="1" applyAlignment="1">
      <alignment horizontal="center"/>
    </xf>
    <xf numFmtId="0" fontId="28" fillId="7" borderId="14" xfId="76" applyFont="1" applyFill="1" applyBorder="1" applyAlignment="1">
      <alignment horizontal="center"/>
    </xf>
    <xf numFmtId="0" fontId="28" fillId="7" borderId="15" xfId="76" applyFont="1" applyFill="1"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44" fillId="4" borderId="59" xfId="76" applyFont="1" applyFill="1" applyBorder="1" applyAlignment="1">
      <alignment horizontal="center"/>
    </xf>
    <xf numFmtId="0" fontId="45" fillId="4" borderId="60" xfId="0" applyFont="1" applyFill="1" applyBorder="1" applyAlignment="1">
      <alignment horizontal="center"/>
    </xf>
    <xf numFmtId="0" fontId="45" fillId="4" borderId="61" xfId="0" applyFont="1" applyFill="1" applyBorder="1" applyAlignment="1">
      <alignment horizontal="center"/>
    </xf>
    <xf numFmtId="0" fontId="29" fillId="0" borderId="24" xfId="0" applyFont="1" applyBorder="1" applyAlignment="1">
      <alignment horizontal="center"/>
    </xf>
    <xf numFmtId="0" fontId="29" fillId="0" borderId="18" xfId="0" applyFont="1" applyBorder="1" applyAlignment="1">
      <alignment horizontal="center"/>
    </xf>
    <xf numFmtId="0" fontId="29" fillId="0" borderId="23" xfId="0" applyFont="1" applyBorder="1" applyAlignment="1">
      <alignment horizontal="center"/>
    </xf>
    <xf numFmtId="0" fontId="49" fillId="13" borderId="36" xfId="0" applyFont="1" applyFill="1" applyBorder="1" applyAlignment="1">
      <alignment horizontal="center" wrapText="1"/>
    </xf>
    <xf numFmtId="0" fontId="49" fillId="13" borderId="37" xfId="0" applyFont="1" applyFill="1" applyBorder="1" applyAlignment="1">
      <alignment horizontal="center" wrapText="1"/>
    </xf>
    <xf numFmtId="0" fontId="49" fillId="13" borderId="35" xfId="0" applyFont="1" applyFill="1" applyBorder="1" applyAlignment="1">
      <alignment horizontal="center" wrapText="1"/>
    </xf>
    <xf numFmtId="0" fontId="49" fillId="12" borderId="36" xfId="0" applyFont="1" applyFill="1" applyBorder="1" applyAlignment="1">
      <alignment horizontal="center" wrapText="1"/>
    </xf>
    <xf numFmtId="0" fontId="49" fillId="12" borderId="37" xfId="0" applyFont="1" applyFill="1" applyBorder="1" applyAlignment="1">
      <alignment horizontal="center" wrapText="1"/>
    </xf>
    <xf numFmtId="0" fontId="49" fillId="12" borderId="35" xfId="0" applyFont="1" applyFill="1" applyBorder="1" applyAlignment="1">
      <alignment horizontal="center" wrapText="1"/>
    </xf>
    <xf numFmtId="0" fontId="47" fillId="12" borderId="83" xfId="0" applyFont="1" applyFill="1" applyBorder="1" applyAlignment="1">
      <alignment horizontal="center"/>
    </xf>
    <xf numFmtId="0" fontId="47" fillId="12" borderId="84" xfId="0" applyFont="1" applyFill="1" applyBorder="1" applyAlignment="1">
      <alignment horizontal="center"/>
    </xf>
    <xf numFmtId="0" fontId="47" fillId="12" borderId="85" xfId="0" applyFont="1" applyFill="1" applyBorder="1" applyAlignment="1">
      <alignment horizontal="center"/>
    </xf>
    <xf numFmtId="0" fontId="48" fillId="7" borderId="94" xfId="0" applyFont="1" applyFill="1" applyBorder="1" applyAlignment="1">
      <alignment horizontal="center"/>
    </xf>
    <xf numFmtId="0" fontId="48" fillId="7" borderId="95" xfId="0" applyFont="1" applyFill="1" applyBorder="1" applyAlignment="1">
      <alignment horizontal="center"/>
    </xf>
    <xf numFmtId="0" fontId="48" fillId="7" borderId="96" xfId="0" applyFont="1" applyFill="1" applyBorder="1" applyAlignment="1">
      <alignment horizontal="center"/>
    </xf>
    <xf numFmtId="0" fontId="0" fillId="0" borderId="95" xfId="0" applyBorder="1" applyAlignment="1"/>
    <xf numFmtId="0" fontId="0" fillId="0" borderId="96" xfId="0" applyBorder="1" applyAlignment="1"/>
    <xf numFmtId="0" fontId="47" fillId="13" borderId="83" xfId="0" applyFont="1" applyFill="1" applyBorder="1" applyAlignment="1">
      <alignment horizontal="center"/>
    </xf>
    <xf numFmtId="0" fontId="47" fillId="13" borderId="84" xfId="0" applyFont="1" applyFill="1" applyBorder="1" applyAlignment="1">
      <alignment horizontal="center"/>
    </xf>
    <xf numFmtId="0" fontId="47" fillId="13" borderId="85" xfId="0" applyFont="1" applyFill="1" applyBorder="1" applyAlignment="1">
      <alignment horizontal="center"/>
    </xf>
    <xf numFmtId="0" fontId="31" fillId="0" borderId="74" xfId="4" applyFont="1" applyBorder="1" applyAlignment="1">
      <alignment horizontal="center" wrapText="1"/>
    </xf>
    <xf numFmtId="0" fontId="31" fillId="0" borderId="54" xfId="4" applyFont="1" applyBorder="1" applyAlignment="1">
      <alignment horizontal="center" wrapText="1"/>
    </xf>
    <xf numFmtId="0" fontId="29" fillId="0" borderId="28" xfId="3" applyFont="1" applyBorder="1" applyAlignment="1">
      <alignment horizontal="center" wrapText="1"/>
    </xf>
    <xf numFmtId="0" fontId="29" fillId="0" borderId="29" xfId="3" applyFont="1" applyBorder="1" applyAlignment="1">
      <alignment horizontal="center" wrapText="1"/>
    </xf>
    <xf numFmtId="0" fontId="29" fillId="0" borderId="30" xfId="3" applyFont="1" applyBorder="1" applyAlignment="1">
      <alignment horizontal="center" wrapText="1"/>
    </xf>
    <xf numFmtId="0" fontId="29" fillId="0" borderId="16" xfId="3" applyFont="1" applyBorder="1" applyAlignment="1">
      <alignment horizontal="center" wrapText="1"/>
    </xf>
    <xf numFmtId="0" fontId="29" fillId="0" borderId="2" xfId="3" applyFont="1" applyBorder="1" applyAlignment="1">
      <alignment horizontal="center" wrapText="1"/>
    </xf>
    <xf numFmtId="0" fontId="29" fillId="0" borderId="17" xfId="3" applyFont="1" applyBorder="1" applyAlignment="1">
      <alignment horizontal="center" wrapText="1"/>
    </xf>
    <xf numFmtId="168" fontId="31" fillId="7" borderId="13" xfId="4" applyNumberFormat="1" applyFont="1" applyFill="1" applyBorder="1" applyAlignment="1">
      <alignment horizontal="center"/>
    </xf>
    <xf numFmtId="168" fontId="31" fillId="7" borderId="14" xfId="4" applyNumberFormat="1" applyFont="1" applyFill="1" applyBorder="1" applyAlignment="1">
      <alignment horizontal="center"/>
    </xf>
    <xf numFmtId="168" fontId="31" fillId="7" borderId="15" xfId="4" applyNumberFormat="1" applyFont="1" applyFill="1" applyBorder="1" applyAlignment="1">
      <alignment horizontal="center"/>
    </xf>
    <xf numFmtId="0" fontId="31" fillId="7" borderId="13" xfId="4" applyFont="1" applyFill="1" applyBorder="1" applyAlignment="1">
      <alignment horizontal="center"/>
    </xf>
    <xf numFmtId="0" fontId="31" fillId="7" borderId="14" xfId="4" applyFont="1" applyFill="1" applyBorder="1" applyAlignment="1">
      <alignment horizontal="center"/>
    </xf>
    <xf numFmtId="0" fontId="31" fillId="7" borderId="15" xfId="4" applyFont="1" applyFill="1" applyBorder="1" applyAlignment="1">
      <alignment horizontal="center"/>
    </xf>
    <xf numFmtId="0" fontId="30" fillId="0" borderId="13" xfId="3" applyFont="1" applyBorder="1" applyAlignment="1">
      <alignment horizontal="center"/>
    </xf>
    <xf numFmtId="0" fontId="30" fillId="0" borderId="15" xfId="3" applyFont="1" applyBorder="1" applyAlignment="1">
      <alignment horizontal="center"/>
    </xf>
    <xf numFmtId="0" fontId="0" fillId="0" borderId="14" xfId="0" applyBorder="1" applyAlignment="1"/>
    <xf numFmtId="0" fontId="0" fillId="0" borderId="15" xfId="0" applyBorder="1" applyAlignment="1"/>
    <xf numFmtId="0" fontId="30" fillId="0" borderId="19" xfId="0" applyFont="1" applyBorder="1" applyAlignment="1">
      <alignment horizontal="center" vertical="center" textRotation="90"/>
    </xf>
    <xf numFmtId="0" fontId="30" fillId="0" borderId="20" xfId="0" applyFont="1" applyBorder="1" applyAlignment="1">
      <alignment horizontal="center" vertical="center" textRotation="90"/>
    </xf>
    <xf numFmtId="0" fontId="30" fillId="0" borderId="21" xfId="0" applyFont="1" applyBorder="1" applyAlignment="1">
      <alignment horizontal="center" vertical="center" textRotation="90"/>
    </xf>
    <xf numFmtId="0" fontId="30" fillId="0" borderId="19" xfId="0" applyFont="1" applyBorder="1" applyAlignment="1">
      <alignment horizontal="center" textRotation="90"/>
    </xf>
    <xf numFmtId="0" fontId="30" fillId="0" borderId="20" xfId="0" applyFont="1" applyBorder="1" applyAlignment="1">
      <alignment horizontal="center" textRotation="90"/>
    </xf>
    <xf numFmtId="0" fontId="30" fillId="0" borderId="21" xfId="0" applyFont="1" applyBorder="1" applyAlignment="1">
      <alignment horizontal="center" textRotation="90"/>
    </xf>
    <xf numFmtId="0" fontId="30" fillId="0" borderId="19" xfId="0" applyFont="1" applyBorder="1" applyAlignment="1">
      <alignment vertical="center" textRotation="90"/>
    </xf>
    <xf numFmtId="0" fontId="30" fillId="0" borderId="20" xfId="0" applyFont="1" applyBorder="1" applyAlignment="1">
      <alignment vertical="center" textRotation="90"/>
    </xf>
    <xf numFmtId="0" fontId="12" fillId="0" borderId="20" xfId="0" applyFont="1" applyBorder="1" applyAlignment="1">
      <alignment vertical="center" textRotation="90"/>
    </xf>
    <xf numFmtId="0" fontId="12" fillId="0" borderId="21" xfId="0" applyFont="1" applyBorder="1" applyAlignment="1">
      <alignment vertical="center" textRotation="90"/>
    </xf>
  </cellXfs>
  <cellStyles count="79">
    <cellStyle name="Comma" xfId="1" builtinId="3"/>
    <cellStyle name="Currency" xfId="2" builtinId="4"/>
    <cellStyle name="Excel Built-in Normal" xfId="3"/>
    <cellStyle name="Excel Built-in Normal 1" xfId="4"/>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3" builtinId="8"/>
    <cellStyle name="Normal" xfId="0" builtinId="0"/>
    <cellStyle name="Normal 2" xfId="70"/>
    <cellStyle name="Normal 2 10" xfId="72"/>
    <cellStyle name="Normal 2 2" xfId="71"/>
    <cellStyle name="Normal 3" xfId="74"/>
    <cellStyle name="Normal 3 2" xfId="76"/>
    <cellStyle name="Normal 4" xfId="77"/>
    <cellStyle name="Normal_FORMATO UNICO DE AUTORIZACION DE CONSULTA DE BC - ampliado (3)" xfId="75"/>
    <cellStyle name="Percent" xfId="5" builtinId="5"/>
    <cellStyle name="Percent 2" xfId="78"/>
  </cellStyles>
  <dxfs count="5">
    <dxf>
      <fill>
        <patternFill>
          <bgColor rgb="FF00FF00"/>
        </patternFill>
      </fill>
    </dxf>
    <dxf>
      <fill>
        <patternFill>
          <bgColor rgb="FFFF0000"/>
        </patternFill>
      </fill>
    </dxf>
    <dxf>
      <font>
        <b val="0"/>
        <i val="0"/>
      </font>
      <fill>
        <patternFill>
          <bgColor rgb="FFFF0000"/>
        </patternFill>
      </fill>
    </dxf>
    <dxf>
      <font>
        <b/>
        <i val="0"/>
      </font>
      <fill>
        <patternFill>
          <bgColor rgb="FF00FF00"/>
        </patternFill>
      </fill>
    </dxf>
    <dxf>
      <fill>
        <patternFill>
          <bgColor rgb="FFFF0000"/>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FF0000"/>
      <rgbColor rgb="0000CC00"/>
      <rgbColor rgb="000000FF"/>
      <rgbColor rgb="00FFFF00"/>
      <rgbColor rgb="00FF00FF"/>
      <rgbColor rgb="0000FFFF"/>
      <rgbColor rgb="00800000"/>
      <rgbColor rgb="00008000"/>
      <rgbColor rgb="00000080"/>
      <rgbColor rgb="00808000"/>
      <rgbColor rgb="00800080"/>
      <rgbColor rgb="00008080"/>
      <rgbColor rgb="00C0C0C0"/>
      <rgbColor rgb="00878787"/>
      <rgbColor rgb="009999FF"/>
      <rgbColor rgb="00953735"/>
      <rgbColor rgb="00EBF3E4"/>
      <rgbColor rgb="00EBF1DE"/>
      <rgbColor rgb="00660066"/>
      <rgbColor rgb="00FF8080"/>
      <rgbColor rgb="000066CC"/>
      <rgbColor rgb="00C6D9F1"/>
      <rgbColor rgb="00000080"/>
      <rgbColor rgb="00FF00FF"/>
      <rgbColor rgb="00FFFF66"/>
      <rgbColor rgb="0000FFFF"/>
      <rgbColor rgb="00800080"/>
      <rgbColor rgb="00800000"/>
      <rgbColor rgb="00008080"/>
      <rgbColor rgb="000000FF"/>
      <rgbColor rgb="0000CCFF"/>
      <rgbColor rgb="00D9D9D9"/>
      <rgbColor rgb="00CCFFCC"/>
      <rgbColor rgb="00FFFF99"/>
      <rgbColor rgb="00B3B3B3"/>
      <rgbColor rgb="00E6B9B8"/>
      <rgbColor rgb="00CC99FF"/>
      <rgbColor rgb="00FFCC99"/>
      <rgbColor rgb="003366FF"/>
      <rgbColor rgb="0033CCCC"/>
      <rgbColor rgb="0066FF00"/>
      <rgbColor rgb="00FFD320"/>
      <rgbColor rgb="00FF9900"/>
      <rgbColor rgb="00FF6600"/>
      <rgbColor rgb="00666666"/>
      <rgbColor rgb="00B2B2B2"/>
      <rgbColor rgb="00003366"/>
      <rgbColor rgb="00339966"/>
      <rgbColor rgb="00003300"/>
      <rgbColor rgb="00333300"/>
      <rgbColor rgb="00993300"/>
      <rgbColor rgb="00993366"/>
      <rgbColor rgb="00442759"/>
      <rgbColor rgb="00333333"/>
    </indexedColors>
    <mruColors>
      <color rgb="FF008000"/>
      <color rgb="FFDDDDDD"/>
      <color rgb="FFF8F8F8"/>
      <color rgb="FFEAEAEA"/>
      <color rgb="FFC0C0C0"/>
      <color rgb="FF0000FF"/>
      <color rgb="FFFFFFCC"/>
      <color rgb="FF92D050"/>
      <color rgb="FF002060"/>
      <color rgb="FFDCE6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6.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325552305476403"/>
          <c:y val="0.21285098822832699"/>
          <c:w val="0.67151091303883403"/>
          <c:h val="0.53011944237998398"/>
        </c:manualLayout>
      </c:layout>
      <c:barChart>
        <c:barDir val="col"/>
        <c:grouping val="clustered"/>
        <c:varyColors val="0"/>
        <c:ser>
          <c:idx val="0"/>
          <c:order val="0"/>
          <c:tx>
            <c:strRef>
              <c:f>Savings!$AH$2</c:f>
              <c:strCache>
                <c:ptCount val="1"/>
                <c:pt idx="0">
                  <c:v>CFE Bill (Year 1)</c:v>
                </c:pt>
              </c:strCache>
            </c:strRef>
          </c:tx>
          <c:spPr>
            <a:solidFill>
              <a:srgbClr val="002060"/>
            </a:solidFill>
          </c:spPr>
          <c:invertIfNegative val="0"/>
          <c:dLbls>
            <c:spPr>
              <a:noFill/>
              <a:ln>
                <a:noFill/>
              </a:ln>
              <a:effectLst/>
            </c:spPr>
            <c:txPr>
              <a:bodyPr wrap="square" lIns="38100" tIns="19050" rIns="38100" bIns="19050" anchor="ctr">
                <a:spAutoFit/>
              </a:bodyPr>
              <a:lstStyle/>
              <a:p>
                <a:pPr>
                  <a:defRPr sz="12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val>
            <c:numRef>
              <c:f>Savings!$J$6</c:f>
              <c:numCache>
                <c:formatCode>_("$"* #,##0_);_("$"* \(#,##0\);_("$"* "-"_);_(@_)</c:formatCode>
                <c:ptCount val="1"/>
                <c:pt idx="0">
                  <c:v>33729.695999999996</c:v>
                </c:pt>
              </c:numCache>
            </c:numRef>
          </c:val>
        </c:ser>
        <c:ser>
          <c:idx val="1"/>
          <c:order val="1"/>
          <c:tx>
            <c:strRef>
              <c:f>Savings!$AI$2</c:f>
              <c:strCache>
                <c:ptCount val="1"/>
                <c:pt idx="0">
                  <c:v>CFE + MySOL Bill (Year 1)</c:v>
                </c:pt>
              </c:strCache>
            </c:strRef>
          </c:tx>
          <c:spPr>
            <a:solidFill>
              <a:srgbClr val="92D050"/>
            </a:solidFill>
          </c:spPr>
          <c:invertIfNegative val="0"/>
          <c:dLbls>
            <c:spPr>
              <a:noFill/>
              <a:ln>
                <a:noFill/>
              </a:ln>
              <a:effectLst/>
            </c:spPr>
            <c:txPr>
              <a:bodyPr wrap="square" lIns="38100" tIns="19050" rIns="38100" bIns="19050" anchor="ctr">
                <a:spAutoFit/>
              </a:bodyPr>
              <a:lstStyle/>
              <a:p>
                <a:pPr>
                  <a:defRPr sz="12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val>
            <c:numRef>
              <c:f>Savings!$AD$6</c:f>
              <c:numCache>
                <c:formatCode>[$$-409]#,##0;[Red]\-[$$-409]#,##0</c:formatCode>
                <c:ptCount val="1"/>
                <c:pt idx="0">
                  <c:v>27872.990576301974</c:v>
                </c:pt>
              </c:numCache>
            </c:numRef>
          </c:val>
        </c:ser>
        <c:dLbls>
          <c:showLegendKey val="0"/>
          <c:showVal val="0"/>
          <c:showCatName val="0"/>
          <c:showSerName val="0"/>
          <c:showPercent val="0"/>
          <c:showBubbleSize val="0"/>
        </c:dLbls>
        <c:gapWidth val="60"/>
        <c:overlap val="-20"/>
        <c:axId val="208335752"/>
        <c:axId val="208337712"/>
      </c:barChart>
      <c:catAx>
        <c:axId val="208335752"/>
        <c:scaling>
          <c:orientation val="minMax"/>
        </c:scaling>
        <c:delete val="0"/>
        <c:axPos val="b"/>
        <c:numFmt formatCode="General" sourceLinked="1"/>
        <c:majorTickMark val="out"/>
        <c:minorTickMark val="none"/>
        <c:tickLblPos val="none"/>
        <c:spPr>
          <a:ln w="12700">
            <a:solidFill>
              <a:srgbClr val="878787"/>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8337712"/>
        <c:crosses val="autoZero"/>
        <c:auto val="0"/>
        <c:lblAlgn val="ctr"/>
        <c:lblOffset val="100"/>
        <c:tickLblSkip val="1"/>
        <c:tickMarkSkip val="1"/>
        <c:noMultiLvlLbl val="0"/>
      </c:catAx>
      <c:valAx>
        <c:axId val="208337712"/>
        <c:scaling>
          <c:orientation val="minMax"/>
        </c:scaling>
        <c:delete val="0"/>
        <c:axPos val="l"/>
        <c:numFmt formatCode="_(&quot;$&quot;* #,##0_);_(&quot;$&quot;* \(#,##0\);_(&quot;$&quot;* &quot;-&quot;_);_(@_)" sourceLinked="1"/>
        <c:majorTickMark val="out"/>
        <c:minorTickMark val="none"/>
        <c:tickLblPos val="nextTo"/>
        <c:spPr>
          <a:ln w="12700">
            <a:solidFill>
              <a:srgbClr val="878787"/>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08335752"/>
        <c:crosses val="autoZero"/>
        <c:crossBetween val="between"/>
      </c:valAx>
      <c:spPr>
        <a:noFill/>
        <a:ln w="25400">
          <a:noFill/>
        </a:ln>
      </c:spPr>
    </c:plotArea>
    <c:legend>
      <c:legendPos val="r"/>
      <c:layout>
        <c:manualLayout>
          <c:xMode val="edge"/>
          <c:yMode val="edge"/>
          <c:x val="0.27325558505768199"/>
          <c:y val="2.8157599280259939E-2"/>
          <c:w val="0.69185977842885904"/>
          <c:h val="0.12846854483132952"/>
        </c:manualLayout>
      </c:layout>
      <c:overlay val="0"/>
      <c:spPr>
        <a:noFill/>
        <a:ln w="25400">
          <a:noFill/>
        </a:ln>
      </c:spPr>
      <c:txPr>
        <a:bodyPr/>
        <a:lstStyle/>
        <a:p>
          <a:pPr>
            <a:defRPr sz="12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c:pageMargins b="0.75" l="0.7" r="0.7" t="0.75" header="0.51180555555555596" footer="0.51180555555555596"/>
    <c:pageSetup firstPageNumber="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530289475804199"/>
          <c:y val="0.23293127013666001"/>
          <c:w val="0.65706121217003599"/>
          <c:h val="0.461846483891653"/>
        </c:manualLayout>
      </c:layout>
      <c:barChart>
        <c:barDir val="col"/>
        <c:grouping val="clustered"/>
        <c:varyColors val="0"/>
        <c:ser>
          <c:idx val="0"/>
          <c:order val="0"/>
          <c:tx>
            <c:strRef>
              <c:f>Savings!$J$2</c:f>
              <c:strCache>
                <c:ptCount val="1"/>
                <c:pt idx="0">
                  <c:v>CFE Bill</c:v>
                </c:pt>
              </c:strCache>
            </c:strRef>
          </c:tx>
          <c:spPr>
            <a:solidFill>
              <a:srgbClr val="002060"/>
            </a:solidFill>
            <a:ln w="3175">
              <a:solidFill>
                <a:schemeClr val="bg1">
                  <a:lumMod val="75000"/>
                </a:schemeClr>
              </a:solidFill>
            </a:ln>
          </c:spPr>
          <c:invertIfNegative val="0"/>
          <c:cat>
            <c:numRef>
              <c:f>Savings!$B$6:$B$20</c:f>
              <c:numCache>
                <c:formatCode>General</c:formatCod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cat>
          <c:val>
            <c:numRef>
              <c:f>Savings!$J$6:$J$20</c:f>
              <c:numCache>
                <c:formatCode>_("$"* #,##0_);_("$"* \(#,##0\);_("$"* "-"_);_(@_)</c:formatCode>
                <c:ptCount val="15"/>
                <c:pt idx="0">
                  <c:v>33729.695999999996</c:v>
                </c:pt>
                <c:pt idx="1">
                  <c:v>36428.071679999994</c:v>
                </c:pt>
                <c:pt idx="2">
                  <c:v>39342.3174144</c:v>
                </c:pt>
                <c:pt idx="3">
                  <c:v>42489.702807551999</c:v>
                </c:pt>
                <c:pt idx="4">
                  <c:v>45888.879032156168</c:v>
                </c:pt>
                <c:pt idx="5">
                  <c:v>49559.98935472867</c:v>
                </c:pt>
                <c:pt idx="6">
                  <c:v>53524.788503106975</c:v>
                </c:pt>
                <c:pt idx="7">
                  <c:v>57806.771583355527</c:v>
                </c:pt>
                <c:pt idx="8">
                  <c:v>62431.313310023972</c:v>
                </c:pt>
                <c:pt idx="9">
                  <c:v>67425.818374825903</c:v>
                </c:pt>
                <c:pt idx="10">
                  <c:v>72819.883844811964</c:v>
                </c:pt>
                <c:pt idx="11">
                  <c:v>78645.474552396947</c:v>
                </c:pt>
                <c:pt idx="12">
                  <c:v>84937.112516588706</c:v>
                </c:pt>
                <c:pt idx="13">
                  <c:v>91732.081517915794</c:v>
                </c:pt>
                <c:pt idx="14">
                  <c:v>99070.648039349064</c:v>
                </c:pt>
              </c:numCache>
            </c:numRef>
          </c:val>
          <c:extLst/>
        </c:ser>
        <c:ser>
          <c:idx val="1"/>
          <c:order val="1"/>
          <c:tx>
            <c:strRef>
              <c:f>Savings!$AD$2</c:f>
              <c:strCache>
                <c:ptCount val="1"/>
                <c:pt idx="0">
                  <c:v>CFE + MySOL Bill</c:v>
                </c:pt>
              </c:strCache>
            </c:strRef>
          </c:tx>
          <c:spPr>
            <a:solidFill>
              <a:srgbClr val="92D050"/>
            </a:solidFill>
            <a:ln w="3175">
              <a:solidFill>
                <a:schemeClr val="bg1">
                  <a:lumMod val="75000"/>
                </a:schemeClr>
              </a:solidFill>
            </a:ln>
          </c:spPr>
          <c:invertIfNegative val="0"/>
          <c:cat>
            <c:numRef>
              <c:f>Savings!$B$6:$B$20</c:f>
              <c:numCache>
                <c:formatCode>General</c:formatCod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cat>
          <c:val>
            <c:numRef>
              <c:f>Savings!$AD$6:$AD$20</c:f>
              <c:numCache>
                <c:formatCode>[$$-409]#,##0;[Red]\-[$$-409]#,##0</c:formatCode>
                <c:ptCount val="15"/>
                <c:pt idx="0">
                  <c:v>27872.990576301974</c:v>
                </c:pt>
                <c:pt idx="1">
                  <c:v>27770.794651091765</c:v>
                </c:pt>
                <c:pt idx="2">
                  <c:v>28858.915057378617</c:v>
                </c:pt>
                <c:pt idx="3">
                  <c:v>29992.525845656437</c:v>
                </c:pt>
                <c:pt idx="4">
                  <c:v>31173.740909683358</c:v>
                </c:pt>
                <c:pt idx="5">
                  <c:v>32404.78718944409</c:v>
                </c:pt>
                <c:pt idx="6">
                  <c:v>33688.011650398592</c:v>
                </c:pt>
                <c:pt idx="7">
                  <c:v>35025.888744891112</c:v>
                </c:pt>
                <c:pt idx="8">
                  <c:v>36421.028391474429</c:v>
                </c:pt>
                <c:pt idx="9">
                  <c:v>37876.184510660227</c:v>
                </c:pt>
                <c:pt idx="10">
                  <c:v>39394.264158578677</c:v>
                </c:pt>
                <c:pt idx="11">
                  <c:v>40978.337303236818</c:v>
                </c:pt>
                <c:pt idx="12">
                  <c:v>42631.647291523754</c:v>
                </c:pt>
                <c:pt idx="13">
                  <c:v>44357.622058841407</c:v>
                </c:pt>
                <c:pt idx="14">
                  <c:v>46159.886137264708</c:v>
                </c:pt>
              </c:numCache>
            </c:numRef>
          </c:val>
          <c:extLst/>
        </c:ser>
        <c:ser>
          <c:idx val="2"/>
          <c:order val="2"/>
          <c:tx>
            <c:strRef>
              <c:f>Savings!$AE$2</c:f>
              <c:strCache>
                <c:ptCount val="1"/>
                <c:pt idx="0">
                  <c:v>Savings ($)</c:v>
                </c:pt>
              </c:strCache>
            </c:strRef>
          </c:tx>
          <c:spPr>
            <a:solidFill>
              <a:srgbClr val="FFFF00"/>
            </a:solidFill>
            <a:ln w="3175">
              <a:solidFill>
                <a:schemeClr val="bg1">
                  <a:lumMod val="75000"/>
                </a:schemeClr>
              </a:solidFill>
            </a:ln>
          </c:spPr>
          <c:invertIfNegative val="0"/>
          <c:cat>
            <c:numRef>
              <c:f>Savings!$B$6:$B$20</c:f>
              <c:numCache>
                <c:formatCode>General</c:formatCod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cat>
          <c:val>
            <c:numRef>
              <c:f>Savings!$AE$6:$AE$20</c:f>
              <c:numCache>
                <c:formatCode>[$$-409]#,##0;[Red]\-[$$-409]#,##0</c:formatCode>
                <c:ptCount val="15"/>
                <c:pt idx="0">
                  <c:v>5856.7054236980221</c:v>
                </c:pt>
                <c:pt idx="1">
                  <c:v>8657.2770289082291</c:v>
                </c:pt>
                <c:pt idx="2">
                  <c:v>10483.402357021383</c:v>
                </c:pt>
                <c:pt idx="3">
                  <c:v>12497.176961895562</c:v>
                </c:pt>
                <c:pt idx="4">
                  <c:v>14715.13812247281</c:v>
                </c:pt>
                <c:pt idx="5">
                  <c:v>17155.20216528458</c:v>
                </c:pt>
                <c:pt idx="6">
                  <c:v>19836.776852708383</c:v>
                </c:pt>
                <c:pt idx="7">
                  <c:v>22780.882838464415</c:v>
                </c:pt>
                <c:pt idx="8">
                  <c:v>26010.284918549543</c:v>
                </c:pt>
                <c:pt idx="9">
                  <c:v>29549.633864165677</c:v>
                </c:pt>
                <c:pt idx="10">
                  <c:v>33425.619686233287</c:v>
                </c:pt>
                <c:pt idx="11">
                  <c:v>37667.137249160129</c:v>
                </c:pt>
                <c:pt idx="12">
                  <c:v>42305.465225064952</c:v>
                </c:pt>
                <c:pt idx="13">
                  <c:v>47374.459459074387</c:v>
                </c:pt>
                <c:pt idx="14">
                  <c:v>52910.761902084356</c:v>
                </c:pt>
              </c:numCache>
            </c:numRef>
          </c:val>
          <c:extLst/>
        </c:ser>
        <c:dLbls>
          <c:showLegendKey val="0"/>
          <c:showVal val="0"/>
          <c:showCatName val="0"/>
          <c:showSerName val="0"/>
          <c:showPercent val="0"/>
          <c:showBubbleSize val="0"/>
        </c:dLbls>
        <c:gapWidth val="100"/>
        <c:axId val="208333792"/>
        <c:axId val="208333400"/>
      </c:barChart>
      <c:catAx>
        <c:axId val="208333792"/>
        <c:scaling>
          <c:orientation val="minMax"/>
        </c:scaling>
        <c:delete val="0"/>
        <c:axPos val="b"/>
        <c:title>
          <c:tx>
            <c:rich>
              <a:bodyPr/>
              <a:lstStyle/>
              <a:p>
                <a:pPr>
                  <a:defRPr sz="1200"/>
                </a:pPr>
                <a:r>
                  <a:rPr lang="en-US" sz="1200"/>
                  <a:t>Year</a:t>
                </a:r>
              </a:p>
            </c:rich>
          </c:tx>
          <c:overlay val="0"/>
        </c:title>
        <c:numFmt formatCode="General" sourceLinked="1"/>
        <c:majorTickMark val="out"/>
        <c:minorTickMark val="none"/>
        <c:tickLblPos val="nextTo"/>
        <c:spPr>
          <a:ln w="12700">
            <a:solidFill>
              <a:srgbClr val="878787"/>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08333400"/>
        <c:crossesAt val="0"/>
        <c:auto val="0"/>
        <c:lblAlgn val="ctr"/>
        <c:lblOffset val="100"/>
        <c:tickLblSkip val="2"/>
        <c:tickMarkSkip val="1"/>
        <c:noMultiLvlLbl val="0"/>
      </c:catAx>
      <c:valAx>
        <c:axId val="208333400"/>
        <c:scaling>
          <c:orientation val="minMax"/>
        </c:scaling>
        <c:delete val="0"/>
        <c:axPos val="l"/>
        <c:numFmt formatCode="_(&quot;$&quot;* #,##0_);_(&quot;$&quot;* \(#,##0\);_(&quot;$&quot;* &quot;-&quot;_);_(@_)" sourceLinked="1"/>
        <c:majorTickMark val="out"/>
        <c:minorTickMark val="none"/>
        <c:tickLblPos val="nextTo"/>
        <c:spPr>
          <a:ln w="12700">
            <a:solidFill>
              <a:srgbClr val="878787"/>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08333792"/>
        <c:crosses val="autoZero"/>
        <c:crossBetween val="between"/>
      </c:valAx>
      <c:spPr>
        <a:noFill/>
        <a:ln w="12700">
          <a:solidFill>
            <a:srgbClr val="B3B3B3"/>
          </a:solidFill>
          <a:prstDash val="solid"/>
        </a:ln>
      </c:spPr>
    </c:plotArea>
    <c:legend>
      <c:legendPos val="r"/>
      <c:layout>
        <c:manualLayout>
          <c:xMode val="edge"/>
          <c:yMode val="edge"/>
          <c:x val="0.17669908902760531"/>
          <c:y val="5.5118407368890211E-2"/>
          <c:w val="0.7652827392910303"/>
          <c:h val="0.152610125541536"/>
        </c:manualLayout>
      </c:layout>
      <c:overlay val="0"/>
      <c:spPr>
        <a:noFill/>
        <a:ln w="25400">
          <a:noFill/>
        </a:ln>
      </c:spPr>
      <c:txPr>
        <a:bodyPr/>
        <a:lstStyle/>
        <a:p>
          <a:pPr>
            <a:defRPr sz="12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c:pageMargins b="0.75" l="0.7" r="0.7" t="0.75" header="0.51180555555555596" footer="0.51180555555555596"/>
    <c:pageSetup firstPageNumber="0"/>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325552305476403"/>
          <c:y val="0.21285098822832699"/>
          <c:w val="0.67151091303883403"/>
          <c:h val="0.53011944237998398"/>
        </c:manualLayout>
      </c:layout>
      <c:barChart>
        <c:barDir val="col"/>
        <c:grouping val="clustered"/>
        <c:varyColors val="0"/>
        <c:ser>
          <c:idx val="0"/>
          <c:order val="0"/>
          <c:tx>
            <c:strRef>
              <c:f>Savings!$AH$3</c:f>
              <c:strCache>
                <c:ptCount val="1"/>
                <c:pt idx="0">
                  <c:v>Recibo CFE (Año 1)</c:v>
                </c:pt>
              </c:strCache>
            </c:strRef>
          </c:tx>
          <c:spPr>
            <a:solidFill>
              <a:srgbClr val="002060"/>
            </a:solidFill>
          </c:spPr>
          <c:invertIfNegative val="0"/>
          <c:dLbls>
            <c:spPr>
              <a:noFill/>
              <a:ln>
                <a:noFill/>
              </a:ln>
              <a:effectLst/>
            </c:spPr>
            <c:txPr>
              <a:bodyPr wrap="square" lIns="38100" tIns="19050" rIns="38100" bIns="19050" anchor="ctr">
                <a:spAutoFit/>
              </a:bodyPr>
              <a:lstStyle/>
              <a:p>
                <a:pPr>
                  <a:defRPr sz="12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val>
            <c:numRef>
              <c:f>Savings!$J$6</c:f>
              <c:numCache>
                <c:formatCode>_("$"* #,##0_);_("$"* \(#,##0\);_("$"* "-"_);_(@_)</c:formatCode>
                <c:ptCount val="1"/>
                <c:pt idx="0">
                  <c:v>33729.695999999996</c:v>
                </c:pt>
              </c:numCache>
            </c:numRef>
          </c:val>
        </c:ser>
        <c:ser>
          <c:idx val="1"/>
          <c:order val="1"/>
          <c:tx>
            <c:strRef>
              <c:f>Savings!$AI$3</c:f>
              <c:strCache>
                <c:ptCount val="1"/>
                <c:pt idx="0">
                  <c:v>Recibo CFE + MySOL (Año 1)</c:v>
                </c:pt>
              </c:strCache>
            </c:strRef>
          </c:tx>
          <c:spPr>
            <a:solidFill>
              <a:srgbClr val="92D050"/>
            </a:solidFill>
          </c:spPr>
          <c:invertIfNegative val="0"/>
          <c:dLbls>
            <c:spPr>
              <a:noFill/>
              <a:ln>
                <a:noFill/>
              </a:ln>
              <a:effectLst/>
            </c:spPr>
            <c:txPr>
              <a:bodyPr wrap="square" lIns="38100" tIns="19050" rIns="38100" bIns="19050" anchor="ctr">
                <a:spAutoFit/>
              </a:bodyPr>
              <a:lstStyle/>
              <a:p>
                <a:pPr>
                  <a:defRPr sz="12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val>
            <c:numRef>
              <c:f>Savings!$AD$6</c:f>
              <c:numCache>
                <c:formatCode>[$$-409]#,##0;[Red]\-[$$-409]#,##0</c:formatCode>
                <c:ptCount val="1"/>
                <c:pt idx="0">
                  <c:v>27872.990576301974</c:v>
                </c:pt>
              </c:numCache>
            </c:numRef>
          </c:val>
        </c:ser>
        <c:dLbls>
          <c:showLegendKey val="0"/>
          <c:showVal val="0"/>
          <c:showCatName val="0"/>
          <c:showSerName val="0"/>
          <c:showPercent val="0"/>
          <c:showBubbleSize val="0"/>
        </c:dLbls>
        <c:gapWidth val="60"/>
        <c:overlap val="-20"/>
        <c:axId val="208338496"/>
        <c:axId val="208339280"/>
      </c:barChart>
      <c:catAx>
        <c:axId val="208338496"/>
        <c:scaling>
          <c:orientation val="minMax"/>
        </c:scaling>
        <c:delete val="0"/>
        <c:axPos val="b"/>
        <c:numFmt formatCode="General" sourceLinked="1"/>
        <c:majorTickMark val="out"/>
        <c:minorTickMark val="none"/>
        <c:tickLblPos val="none"/>
        <c:spPr>
          <a:ln w="12700">
            <a:solidFill>
              <a:srgbClr val="878787"/>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8339280"/>
        <c:crosses val="autoZero"/>
        <c:auto val="0"/>
        <c:lblAlgn val="ctr"/>
        <c:lblOffset val="100"/>
        <c:tickLblSkip val="1"/>
        <c:tickMarkSkip val="1"/>
        <c:noMultiLvlLbl val="0"/>
      </c:catAx>
      <c:valAx>
        <c:axId val="208339280"/>
        <c:scaling>
          <c:orientation val="minMax"/>
        </c:scaling>
        <c:delete val="0"/>
        <c:axPos val="l"/>
        <c:numFmt formatCode="_(&quot;$&quot;* #,##0_);_(&quot;$&quot;* \(#,##0\);_(&quot;$&quot;* &quot;-&quot;_);_(@_)" sourceLinked="1"/>
        <c:majorTickMark val="out"/>
        <c:minorTickMark val="none"/>
        <c:tickLblPos val="nextTo"/>
        <c:spPr>
          <a:ln w="12700">
            <a:solidFill>
              <a:srgbClr val="878787"/>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08338496"/>
        <c:crosses val="autoZero"/>
        <c:crossBetween val="between"/>
      </c:valAx>
      <c:spPr>
        <a:noFill/>
        <a:ln w="25400">
          <a:noFill/>
        </a:ln>
      </c:spPr>
    </c:plotArea>
    <c:legend>
      <c:legendPos val="r"/>
      <c:layout>
        <c:manualLayout>
          <c:xMode val="edge"/>
          <c:yMode val="edge"/>
          <c:x val="0.27325558505768199"/>
          <c:y val="2.8157599280259939E-2"/>
          <c:w val="0.69185977842885904"/>
          <c:h val="0.12846854483132952"/>
        </c:manualLayout>
      </c:layout>
      <c:overlay val="0"/>
      <c:spPr>
        <a:noFill/>
        <a:ln w="25400">
          <a:noFill/>
        </a:ln>
      </c:spPr>
      <c:txPr>
        <a:bodyPr/>
        <a:lstStyle/>
        <a:p>
          <a:pPr>
            <a:defRPr sz="12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c:pageMargins b="0.75" l="0.7" r="0.7" t="0.75" header="0.51180555555555596" footer="0.51180555555555596"/>
    <c:pageSetup firstPageNumber="0"/>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530289475804199"/>
          <c:y val="0.23293127013666001"/>
          <c:w val="0.65706121217003599"/>
          <c:h val="0.461846483891653"/>
        </c:manualLayout>
      </c:layout>
      <c:barChart>
        <c:barDir val="col"/>
        <c:grouping val="clustered"/>
        <c:varyColors val="0"/>
        <c:ser>
          <c:idx val="0"/>
          <c:order val="0"/>
          <c:tx>
            <c:strRef>
              <c:f>Savings!$J$3</c:f>
              <c:strCache>
                <c:ptCount val="1"/>
                <c:pt idx="0">
                  <c:v>Recibo CFE</c:v>
                </c:pt>
              </c:strCache>
            </c:strRef>
          </c:tx>
          <c:spPr>
            <a:solidFill>
              <a:srgbClr val="002060"/>
            </a:solidFill>
            <a:ln w="3175">
              <a:solidFill>
                <a:schemeClr val="bg1">
                  <a:lumMod val="75000"/>
                </a:schemeClr>
              </a:solidFill>
            </a:ln>
          </c:spPr>
          <c:invertIfNegative val="0"/>
          <c:cat>
            <c:numRef>
              <c:f>Savings!$B$6:$B$20</c:f>
              <c:numCache>
                <c:formatCode>General</c:formatCod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cat>
          <c:val>
            <c:numRef>
              <c:f>Savings!$J$6:$J$20</c:f>
              <c:numCache>
                <c:formatCode>_("$"* #,##0_);_("$"* \(#,##0\);_("$"* "-"_);_(@_)</c:formatCode>
                <c:ptCount val="15"/>
                <c:pt idx="0">
                  <c:v>33729.695999999996</c:v>
                </c:pt>
                <c:pt idx="1">
                  <c:v>36428.071679999994</c:v>
                </c:pt>
                <c:pt idx="2">
                  <c:v>39342.3174144</c:v>
                </c:pt>
                <c:pt idx="3">
                  <c:v>42489.702807551999</c:v>
                </c:pt>
                <c:pt idx="4">
                  <c:v>45888.879032156168</c:v>
                </c:pt>
                <c:pt idx="5">
                  <c:v>49559.98935472867</c:v>
                </c:pt>
                <c:pt idx="6">
                  <c:v>53524.788503106975</c:v>
                </c:pt>
                <c:pt idx="7">
                  <c:v>57806.771583355527</c:v>
                </c:pt>
                <c:pt idx="8">
                  <c:v>62431.313310023972</c:v>
                </c:pt>
                <c:pt idx="9">
                  <c:v>67425.818374825903</c:v>
                </c:pt>
                <c:pt idx="10">
                  <c:v>72819.883844811964</c:v>
                </c:pt>
                <c:pt idx="11">
                  <c:v>78645.474552396947</c:v>
                </c:pt>
                <c:pt idx="12">
                  <c:v>84937.112516588706</c:v>
                </c:pt>
                <c:pt idx="13">
                  <c:v>91732.081517915794</c:v>
                </c:pt>
                <c:pt idx="14">
                  <c:v>99070.648039349064</c:v>
                </c:pt>
              </c:numCache>
            </c:numRef>
          </c:val>
          <c:extLst/>
        </c:ser>
        <c:ser>
          <c:idx val="1"/>
          <c:order val="1"/>
          <c:tx>
            <c:strRef>
              <c:f>Savings!$AD$3</c:f>
              <c:strCache>
                <c:ptCount val="1"/>
                <c:pt idx="0">
                  <c:v>Recibo CFE + MySOL</c:v>
                </c:pt>
              </c:strCache>
            </c:strRef>
          </c:tx>
          <c:spPr>
            <a:solidFill>
              <a:srgbClr val="92D050"/>
            </a:solidFill>
            <a:ln w="3175">
              <a:solidFill>
                <a:schemeClr val="bg1">
                  <a:lumMod val="75000"/>
                </a:schemeClr>
              </a:solidFill>
            </a:ln>
          </c:spPr>
          <c:invertIfNegative val="0"/>
          <c:cat>
            <c:numRef>
              <c:f>Savings!$B$6:$B$20</c:f>
              <c:numCache>
                <c:formatCode>General</c:formatCod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cat>
          <c:val>
            <c:numRef>
              <c:f>Savings!$AD$6:$AD$20</c:f>
              <c:numCache>
                <c:formatCode>[$$-409]#,##0;[Red]\-[$$-409]#,##0</c:formatCode>
                <c:ptCount val="15"/>
                <c:pt idx="0">
                  <c:v>27872.990576301974</c:v>
                </c:pt>
                <c:pt idx="1">
                  <c:v>27770.794651091765</c:v>
                </c:pt>
                <c:pt idx="2">
                  <c:v>28858.915057378617</c:v>
                </c:pt>
                <c:pt idx="3">
                  <c:v>29992.525845656437</c:v>
                </c:pt>
                <c:pt idx="4">
                  <c:v>31173.740909683358</c:v>
                </c:pt>
                <c:pt idx="5">
                  <c:v>32404.78718944409</c:v>
                </c:pt>
                <c:pt idx="6">
                  <c:v>33688.011650398592</c:v>
                </c:pt>
                <c:pt idx="7">
                  <c:v>35025.888744891112</c:v>
                </c:pt>
                <c:pt idx="8">
                  <c:v>36421.028391474429</c:v>
                </c:pt>
                <c:pt idx="9">
                  <c:v>37876.184510660227</c:v>
                </c:pt>
                <c:pt idx="10">
                  <c:v>39394.264158578677</c:v>
                </c:pt>
                <c:pt idx="11">
                  <c:v>40978.337303236818</c:v>
                </c:pt>
                <c:pt idx="12">
                  <c:v>42631.647291523754</c:v>
                </c:pt>
                <c:pt idx="13">
                  <c:v>44357.622058841407</c:v>
                </c:pt>
                <c:pt idx="14">
                  <c:v>46159.886137264708</c:v>
                </c:pt>
              </c:numCache>
            </c:numRef>
          </c:val>
          <c:extLst/>
        </c:ser>
        <c:ser>
          <c:idx val="2"/>
          <c:order val="2"/>
          <c:tx>
            <c:strRef>
              <c:f>Savings!$AE$3</c:f>
              <c:strCache>
                <c:ptCount val="1"/>
                <c:pt idx="0">
                  <c:v>Ahorros $</c:v>
                </c:pt>
              </c:strCache>
            </c:strRef>
          </c:tx>
          <c:spPr>
            <a:solidFill>
              <a:srgbClr val="FFFF00"/>
            </a:solidFill>
            <a:ln w="3175">
              <a:solidFill>
                <a:schemeClr val="bg1">
                  <a:lumMod val="75000"/>
                </a:schemeClr>
              </a:solidFill>
            </a:ln>
          </c:spPr>
          <c:invertIfNegative val="0"/>
          <c:cat>
            <c:numRef>
              <c:f>Savings!$B$6:$B$20</c:f>
              <c:numCache>
                <c:formatCode>General</c:formatCod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cat>
          <c:val>
            <c:numRef>
              <c:f>Savings!$AE$6:$AE$20</c:f>
              <c:numCache>
                <c:formatCode>[$$-409]#,##0;[Red]\-[$$-409]#,##0</c:formatCode>
                <c:ptCount val="15"/>
                <c:pt idx="0">
                  <c:v>5856.7054236980221</c:v>
                </c:pt>
                <c:pt idx="1">
                  <c:v>8657.2770289082291</c:v>
                </c:pt>
                <c:pt idx="2">
                  <c:v>10483.402357021383</c:v>
                </c:pt>
                <c:pt idx="3">
                  <c:v>12497.176961895562</c:v>
                </c:pt>
                <c:pt idx="4">
                  <c:v>14715.13812247281</c:v>
                </c:pt>
                <c:pt idx="5">
                  <c:v>17155.20216528458</c:v>
                </c:pt>
                <c:pt idx="6">
                  <c:v>19836.776852708383</c:v>
                </c:pt>
                <c:pt idx="7">
                  <c:v>22780.882838464415</c:v>
                </c:pt>
                <c:pt idx="8">
                  <c:v>26010.284918549543</c:v>
                </c:pt>
                <c:pt idx="9">
                  <c:v>29549.633864165677</c:v>
                </c:pt>
                <c:pt idx="10">
                  <c:v>33425.619686233287</c:v>
                </c:pt>
                <c:pt idx="11">
                  <c:v>37667.137249160129</c:v>
                </c:pt>
                <c:pt idx="12">
                  <c:v>42305.465225064952</c:v>
                </c:pt>
                <c:pt idx="13">
                  <c:v>47374.459459074387</c:v>
                </c:pt>
                <c:pt idx="14">
                  <c:v>52910.761902084356</c:v>
                </c:pt>
              </c:numCache>
            </c:numRef>
          </c:val>
          <c:extLst/>
        </c:ser>
        <c:dLbls>
          <c:showLegendKey val="0"/>
          <c:showVal val="0"/>
          <c:showCatName val="0"/>
          <c:showSerName val="0"/>
          <c:showPercent val="0"/>
          <c:showBubbleSize val="0"/>
        </c:dLbls>
        <c:gapWidth val="100"/>
        <c:axId val="208340064"/>
        <c:axId val="208332616"/>
      </c:barChart>
      <c:catAx>
        <c:axId val="208340064"/>
        <c:scaling>
          <c:orientation val="minMax"/>
        </c:scaling>
        <c:delete val="0"/>
        <c:axPos val="b"/>
        <c:title>
          <c:tx>
            <c:rich>
              <a:bodyPr/>
              <a:lstStyle/>
              <a:p>
                <a:pPr>
                  <a:defRPr sz="1200"/>
                </a:pPr>
                <a:r>
                  <a:rPr lang="en-US" sz="1200"/>
                  <a:t>Año</a:t>
                </a:r>
              </a:p>
            </c:rich>
          </c:tx>
          <c:overlay val="0"/>
        </c:title>
        <c:numFmt formatCode="General" sourceLinked="1"/>
        <c:majorTickMark val="out"/>
        <c:minorTickMark val="none"/>
        <c:tickLblPos val="nextTo"/>
        <c:spPr>
          <a:ln w="12700">
            <a:solidFill>
              <a:srgbClr val="878787"/>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08332616"/>
        <c:crossesAt val="0"/>
        <c:auto val="0"/>
        <c:lblAlgn val="ctr"/>
        <c:lblOffset val="100"/>
        <c:tickLblSkip val="2"/>
        <c:tickMarkSkip val="1"/>
        <c:noMultiLvlLbl val="0"/>
      </c:catAx>
      <c:valAx>
        <c:axId val="208332616"/>
        <c:scaling>
          <c:orientation val="minMax"/>
        </c:scaling>
        <c:delete val="0"/>
        <c:axPos val="l"/>
        <c:numFmt formatCode="_(&quot;$&quot;* #,##0_);_(&quot;$&quot;* \(#,##0\);_(&quot;$&quot;* &quot;-&quot;_);_(@_)" sourceLinked="1"/>
        <c:majorTickMark val="out"/>
        <c:minorTickMark val="none"/>
        <c:tickLblPos val="nextTo"/>
        <c:spPr>
          <a:ln w="12700">
            <a:solidFill>
              <a:srgbClr val="878787"/>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08340064"/>
        <c:crosses val="autoZero"/>
        <c:crossBetween val="between"/>
      </c:valAx>
      <c:spPr>
        <a:noFill/>
        <a:ln w="12700">
          <a:solidFill>
            <a:srgbClr val="B3B3B3"/>
          </a:solidFill>
          <a:prstDash val="solid"/>
        </a:ln>
      </c:spPr>
    </c:plotArea>
    <c:legend>
      <c:legendPos val="r"/>
      <c:layout>
        <c:manualLayout>
          <c:xMode val="edge"/>
          <c:yMode val="edge"/>
          <c:x val="0.17669908902760531"/>
          <c:y val="5.5118407368890211E-2"/>
          <c:w val="0.7652827392910303"/>
          <c:h val="0.152610125541536"/>
        </c:manualLayout>
      </c:layout>
      <c:overlay val="0"/>
      <c:spPr>
        <a:noFill/>
        <a:ln w="25400">
          <a:noFill/>
        </a:ln>
      </c:spPr>
      <c:txPr>
        <a:bodyPr/>
        <a:lstStyle/>
        <a:p>
          <a:pPr>
            <a:defRPr sz="12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c:pageMargins b="0.75" l="0.7" r="0.7" t="0.75" header="0.51180555555555596" footer="0.51180555555555596"/>
    <c:pageSetup firstPageNumber="0"/>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aseline="0">
                <a:latin typeface="Arial" panose="020B0604020202020204" pitchFamily="34" charset="0"/>
              </a:defRPr>
            </a:pPr>
            <a:r>
              <a:rPr lang="en-US" baseline="0">
                <a:latin typeface="Arial" panose="020B0604020202020204" pitchFamily="34" charset="0"/>
              </a:rPr>
              <a:t>Usage vs Production in Year 1</a:t>
            </a:r>
          </a:p>
        </c:rich>
      </c:tx>
      <c:overlay val="0"/>
    </c:title>
    <c:autoTitleDeleted val="0"/>
    <c:plotArea>
      <c:layout/>
      <c:barChart>
        <c:barDir val="col"/>
        <c:grouping val="clustered"/>
        <c:varyColors val="0"/>
        <c:ser>
          <c:idx val="0"/>
          <c:order val="0"/>
          <c:tx>
            <c:strRef>
              <c:f>SalesSupport!$AE$3</c:f>
              <c:strCache>
                <c:ptCount val="1"/>
                <c:pt idx="0">
                  <c:v>Usage</c:v>
                </c:pt>
              </c:strCache>
            </c:strRef>
          </c:tx>
          <c:spPr>
            <a:solidFill>
              <a:srgbClr val="002060"/>
            </a:solidFill>
            <a:ln>
              <a:solidFill>
                <a:sysClr val="windowText" lastClr="000000"/>
              </a:solidFill>
            </a:ln>
          </c:spPr>
          <c:invertIfNegative val="0"/>
          <c:cat>
            <c:strRef>
              <c:f>SalesSupport!$AD$4:$AD$15</c:f>
              <c:strCache>
                <c:ptCount val="12"/>
                <c:pt idx="0">
                  <c:v>ENE</c:v>
                </c:pt>
                <c:pt idx="1">
                  <c:v>FEB</c:v>
                </c:pt>
                <c:pt idx="2">
                  <c:v>MAR</c:v>
                </c:pt>
                <c:pt idx="3">
                  <c:v>ABR</c:v>
                </c:pt>
                <c:pt idx="4">
                  <c:v>MAY</c:v>
                </c:pt>
                <c:pt idx="5">
                  <c:v>JUN</c:v>
                </c:pt>
                <c:pt idx="6">
                  <c:v>JUL</c:v>
                </c:pt>
                <c:pt idx="7">
                  <c:v>AGO</c:v>
                </c:pt>
                <c:pt idx="8">
                  <c:v>SEP</c:v>
                </c:pt>
                <c:pt idx="9">
                  <c:v>OCT</c:v>
                </c:pt>
                <c:pt idx="10">
                  <c:v>NOV</c:v>
                </c:pt>
                <c:pt idx="11">
                  <c:v>DIC</c:v>
                </c:pt>
              </c:strCache>
            </c:strRef>
          </c:cat>
          <c:val>
            <c:numRef>
              <c:f>SalesSupport!$AE$4:$AE$15</c:f>
              <c:numCache>
                <c:formatCode>_(* #,##0_);[Red]_(* \-#,##0_);_(* "-"_);_(@_)</c:formatCode>
                <c:ptCount val="12"/>
                <c:pt idx="0">
                  <c:v>500</c:v>
                </c:pt>
                <c:pt idx="1">
                  <c:v>500</c:v>
                </c:pt>
                <c:pt idx="2">
                  <c:v>500</c:v>
                </c:pt>
                <c:pt idx="3">
                  <c:v>500</c:v>
                </c:pt>
                <c:pt idx="4">
                  <c:v>500</c:v>
                </c:pt>
                <c:pt idx="5">
                  <c:v>500</c:v>
                </c:pt>
                <c:pt idx="6">
                  <c:v>500</c:v>
                </c:pt>
                <c:pt idx="7">
                  <c:v>500</c:v>
                </c:pt>
                <c:pt idx="8">
                  <c:v>500</c:v>
                </c:pt>
                <c:pt idx="9">
                  <c:v>500</c:v>
                </c:pt>
                <c:pt idx="10">
                  <c:v>500</c:v>
                </c:pt>
                <c:pt idx="11">
                  <c:v>500</c:v>
                </c:pt>
              </c:numCache>
            </c:numRef>
          </c:val>
        </c:ser>
        <c:ser>
          <c:idx val="1"/>
          <c:order val="1"/>
          <c:tx>
            <c:strRef>
              <c:f>SalesSupport!$AG$3</c:f>
              <c:strCache>
                <c:ptCount val="1"/>
                <c:pt idx="0">
                  <c:v>System Production</c:v>
                </c:pt>
              </c:strCache>
            </c:strRef>
          </c:tx>
          <c:spPr>
            <a:solidFill>
              <a:srgbClr val="FFFF00"/>
            </a:solidFill>
            <a:ln>
              <a:solidFill>
                <a:sysClr val="windowText" lastClr="000000"/>
              </a:solidFill>
            </a:ln>
          </c:spPr>
          <c:invertIfNegative val="0"/>
          <c:cat>
            <c:strRef>
              <c:f>SalesSupport!$AD$4:$AD$15</c:f>
              <c:strCache>
                <c:ptCount val="12"/>
                <c:pt idx="0">
                  <c:v>ENE</c:v>
                </c:pt>
                <c:pt idx="1">
                  <c:v>FEB</c:v>
                </c:pt>
                <c:pt idx="2">
                  <c:v>MAR</c:v>
                </c:pt>
                <c:pt idx="3">
                  <c:v>ABR</c:v>
                </c:pt>
                <c:pt idx="4">
                  <c:v>MAY</c:v>
                </c:pt>
                <c:pt idx="5">
                  <c:v>JUN</c:v>
                </c:pt>
                <c:pt idx="6">
                  <c:v>JUL</c:v>
                </c:pt>
                <c:pt idx="7">
                  <c:v>AGO</c:v>
                </c:pt>
                <c:pt idx="8">
                  <c:v>SEP</c:v>
                </c:pt>
                <c:pt idx="9">
                  <c:v>OCT</c:v>
                </c:pt>
                <c:pt idx="10">
                  <c:v>NOV</c:v>
                </c:pt>
                <c:pt idx="11">
                  <c:v>DIC</c:v>
                </c:pt>
              </c:strCache>
            </c:strRef>
          </c:cat>
          <c:val>
            <c:numRef>
              <c:f>SalesSupport!$AG$4:$AG$15</c:f>
              <c:numCache>
                <c:formatCode>_(* #,##0_);[Red]_(* \-#,##0_);_(* "-"_);_(@_)</c:formatCode>
                <c:ptCount val="12"/>
                <c:pt idx="0">
                  <c:v>462.15762412875</c:v>
                </c:pt>
                <c:pt idx="1">
                  <c:v>523.10996520749984</c:v>
                </c:pt>
                <c:pt idx="2">
                  <c:v>557.82965316375009</c:v>
                </c:pt>
                <c:pt idx="3">
                  <c:v>526.96770831374999</c:v>
                </c:pt>
                <c:pt idx="4">
                  <c:v>484.532534145</c:v>
                </c:pt>
                <c:pt idx="5">
                  <c:v>489.16182587249995</c:v>
                </c:pt>
                <c:pt idx="6">
                  <c:v>468.33001309874999</c:v>
                </c:pt>
                <c:pt idx="7">
                  <c:v>442.09735997625017</c:v>
                </c:pt>
                <c:pt idx="8">
                  <c:v>428.20948479375005</c:v>
                </c:pt>
                <c:pt idx="9">
                  <c:v>450.58439480999994</c:v>
                </c:pt>
                <c:pt idx="10">
                  <c:v>477.58859655375005</c:v>
                </c:pt>
                <c:pt idx="11">
                  <c:v>427.43793617250003</c:v>
                </c:pt>
              </c:numCache>
            </c:numRef>
          </c:val>
        </c:ser>
        <c:dLbls>
          <c:showLegendKey val="0"/>
          <c:showVal val="0"/>
          <c:showCatName val="0"/>
          <c:showSerName val="0"/>
          <c:showPercent val="0"/>
          <c:showBubbleSize val="0"/>
        </c:dLbls>
        <c:gapWidth val="150"/>
        <c:axId val="209332664"/>
        <c:axId val="209333840"/>
      </c:barChart>
      <c:catAx>
        <c:axId val="209332664"/>
        <c:scaling>
          <c:orientation val="minMax"/>
        </c:scaling>
        <c:delete val="0"/>
        <c:axPos val="b"/>
        <c:numFmt formatCode="General" sourceLinked="0"/>
        <c:majorTickMark val="out"/>
        <c:minorTickMark val="none"/>
        <c:tickLblPos val="low"/>
        <c:txPr>
          <a:bodyPr/>
          <a:lstStyle/>
          <a:p>
            <a:pPr>
              <a:defRPr>
                <a:latin typeface="Arial" panose="020B0604020202020204" pitchFamily="34" charset="0"/>
                <a:cs typeface="Arial" panose="020B0604020202020204" pitchFamily="34" charset="0"/>
              </a:defRPr>
            </a:pPr>
            <a:endParaRPr lang="en-US"/>
          </a:p>
        </c:txPr>
        <c:crossAx val="209333840"/>
        <c:crosses val="autoZero"/>
        <c:auto val="1"/>
        <c:lblAlgn val="ctr"/>
        <c:lblOffset val="100"/>
        <c:noMultiLvlLbl val="0"/>
      </c:catAx>
      <c:valAx>
        <c:axId val="209333840"/>
        <c:scaling>
          <c:orientation val="minMax"/>
        </c:scaling>
        <c:delete val="0"/>
        <c:axPos val="l"/>
        <c:majorGridlines/>
        <c:title>
          <c:tx>
            <c:rich>
              <a:bodyPr rot="-5400000" vert="horz"/>
              <a:lstStyle/>
              <a:p>
                <a:pPr>
                  <a:defRPr>
                    <a:latin typeface="Arial" panose="020B0604020202020204" pitchFamily="34" charset="0"/>
                    <a:cs typeface="Arial" panose="020B0604020202020204" pitchFamily="34" charset="0"/>
                  </a:defRPr>
                </a:pPr>
                <a:r>
                  <a:rPr lang="en-US">
                    <a:latin typeface="Arial" panose="020B0604020202020204" pitchFamily="34" charset="0"/>
                    <a:cs typeface="Arial" panose="020B0604020202020204" pitchFamily="34" charset="0"/>
                  </a:rPr>
                  <a:t>kWh</a:t>
                </a:r>
              </a:p>
            </c:rich>
          </c:tx>
          <c:overlay val="0"/>
        </c:title>
        <c:numFmt formatCode="_(* #,##0_);[Red]_(* \-#,##0_);_(* &quot;-&quot;_);_(@_)" sourceLinked="1"/>
        <c:majorTickMark val="out"/>
        <c:minorTickMark val="none"/>
        <c:tickLblPos val="nextTo"/>
        <c:txPr>
          <a:bodyPr/>
          <a:lstStyle/>
          <a:p>
            <a:pPr>
              <a:defRPr>
                <a:latin typeface="Arial" panose="020B0604020202020204" pitchFamily="34" charset="0"/>
                <a:cs typeface="Arial" panose="020B0604020202020204" pitchFamily="34" charset="0"/>
              </a:defRPr>
            </a:pPr>
            <a:endParaRPr lang="en-US"/>
          </a:p>
        </c:txPr>
        <c:crossAx val="209332664"/>
        <c:crosses val="autoZero"/>
        <c:crossBetween val="between"/>
      </c:valAx>
    </c:plotArea>
    <c:legend>
      <c:legendPos val="b"/>
      <c:overlay val="0"/>
    </c:legend>
    <c:plotVisOnly val="1"/>
    <c:dispBlanksAs val="gap"/>
    <c:showDLblsOverMax val="0"/>
  </c:chart>
  <c:spPr>
    <a:ln>
      <a:solidFill>
        <a:sysClr val="windowText" lastClr="000000"/>
      </a:solid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Arial" panose="020B0604020202020204" pitchFamily="34" charset="0"/>
                <a:ea typeface="+mn-ea"/>
                <a:cs typeface="+mn-cs"/>
              </a:defRPr>
            </a:pPr>
            <a:r>
              <a:rPr lang="en-US" sz="1800" b="1" i="0" baseline="0">
                <a:solidFill>
                  <a:sysClr val="windowText" lastClr="000000"/>
                </a:solidFill>
                <a:latin typeface="Arial" panose="020B0604020202020204" pitchFamily="34" charset="0"/>
              </a:rPr>
              <a:t>Savings with MySOL in Year 1</a:t>
            </a: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Arial" panose="020B0604020202020204" pitchFamily="34" charset="0"/>
              <a:ea typeface="+mn-ea"/>
              <a:cs typeface="+mn-cs"/>
            </a:defRPr>
          </a:pPr>
          <a:endParaRPr lang="en-US"/>
        </a:p>
      </c:txPr>
    </c:title>
    <c:autoTitleDeleted val="0"/>
    <c:plotArea>
      <c:layout/>
      <c:barChart>
        <c:barDir val="col"/>
        <c:grouping val="clustered"/>
        <c:varyColors val="0"/>
        <c:ser>
          <c:idx val="0"/>
          <c:order val="0"/>
          <c:tx>
            <c:strRef>
              <c:f>Savings!$J$2</c:f>
              <c:strCache>
                <c:ptCount val="1"/>
                <c:pt idx="0">
                  <c:v>CFE Bill</c:v>
                </c:pt>
              </c:strCache>
            </c:strRef>
          </c:tx>
          <c:spPr>
            <a:solidFill>
              <a:srgbClr val="002060"/>
            </a:solidFill>
            <a:ln>
              <a:solidFill>
                <a:sysClr val="windowText" lastClr="000000"/>
              </a:solidFill>
            </a:ln>
            <a:effectLst/>
          </c:spPr>
          <c:invertIfNegative val="0"/>
          <c:cat>
            <c:strRef>
              <c:f>SalesSupport!$AD$4:$AD$15</c:f>
              <c:strCache>
                <c:ptCount val="12"/>
                <c:pt idx="0">
                  <c:v>ENE</c:v>
                </c:pt>
                <c:pt idx="1">
                  <c:v>FEB</c:v>
                </c:pt>
                <c:pt idx="2">
                  <c:v>MAR</c:v>
                </c:pt>
                <c:pt idx="3">
                  <c:v>ABR</c:v>
                </c:pt>
                <c:pt idx="4">
                  <c:v>MAY</c:v>
                </c:pt>
                <c:pt idx="5">
                  <c:v>JUN</c:v>
                </c:pt>
                <c:pt idx="6">
                  <c:v>JUL</c:v>
                </c:pt>
                <c:pt idx="7">
                  <c:v>AGO</c:v>
                </c:pt>
                <c:pt idx="8">
                  <c:v>SEP</c:v>
                </c:pt>
                <c:pt idx="9">
                  <c:v>OCT</c:v>
                </c:pt>
                <c:pt idx="10">
                  <c:v>NOV</c:v>
                </c:pt>
                <c:pt idx="11">
                  <c:v>DIC</c:v>
                </c:pt>
              </c:strCache>
            </c:strRef>
          </c:cat>
          <c:val>
            <c:numRef>
              <c:f>SalesSupport!$AR$4:$AR$15</c:f>
              <c:numCache>
                <c:formatCode>_(* #,##0_);[Red]_(* \-#,##0_);_(* "-"_);_(@_)</c:formatCode>
                <c:ptCount val="12"/>
                <c:pt idx="0">
                  <c:v>2738.8242000000005</c:v>
                </c:pt>
                <c:pt idx="1">
                  <c:v>2834.3826000000004</c:v>
                </c:pt>
                <c:pt idx="2">
                  <c:v>3061.7369999999996</c:v>
                </c:pt>
                <c:pt idx="3">
                  <c:v>3019.6530000000002</c:v>
                </c:pt>
                <c:pt idx="4">
                  <c:v>2878.8984</c:v>
                </c:pt>
                <c:pt idx="5">
                  <c:v>2868.0246000000002</c:v>
                </c:pt>
                <c:pt idx="6">
                  <c:v>2863.8036000000002</c:v>
                </c:pt>
                <c:pt idx="7">
                  <c:v>2816.1</c:v>
                </c:pt>
                <c:pt idx="8">
                  <c:v>2790.9126000000006</c:v>
                </c:pt>
                <c:pt idx="9">
                  <c:v>2552.5835999999999</c:v>
                </c:pt>
                <c:pt idx="10">
                  <c:v>2634.6221999999998</c:v>
                </c:pt>
                <c:pt idx="11">
                  <c:v>2670.1541999999999</c:v>
                </c:pt>
              </c:numCache>
            </c:numRef>
          </c:val>
        </c:ser>
        <c:ser>
          <c:idx val="1"/>
          <c:order val="1"/>
          <c:tx>
            <c:strRef>
              <c:f>Savings!$AD$2</c:f>
              <c:strCache>
                <c:ptCount val="1"/>
                <c:pt idx="0">
                  <c:v>CFE + MySOL Bill</c:v>
                </c:pt>
              </c:strCache>
            </c:strRef>
          </c:tx>
          <c:spPr>
            <a:solidFill>
              <a:srgbClr val="92D050"/>
            </a:solidFill>
            <a:ln>
              <a:solidFill>
                <a:sysClr val="windowText" lastClr="000000"/>
              </a:solidFill>
            </a:ln>
            <a:effectLst/>
          </c:spPr>
          <c:invertIfNegative val="0"/>
          <c:cat>
            <c:strRef>
              <c:f>SalesSupport!$AD$4:$AD$15</c:f>
              <c:strCache>
                <c:ptCount val="12"/>
                <c:pt idx="0">
                  <c:v>ENE</c:v>
                </c:pt>
                <c:pt idx="1">
                  <c:v>FEB</c:v>
                </c:pt>
                <c:pt idx="2">
                  <c:v>MAR</c:v>
                </c:pt>
                <c:pt idx="3">
                  <c:v>ABR</c:v>
                </c:pt>
                <c:pt idx="4">
                  <c:v>MAY</c:v>
                </c:pt>
                <c:pt idx="5">
                  <c:v>JUN</c:v>
                </c:pt>
                <c:pt idx="6">
                  <c:v>JUL</c:v>
                </c:pt>
                <c:pt idx="7">
                  <c:v>AGO</c:v>
                </c:pt>
                <c:pt idx="8">
                  <c:v>SEP</c:v>
                </c:pt>
                <c:pt idx="9">
                  <c:v>OCT</c:v>
                </c:pt>
                <c:pt idx="10">
                  <c:v>NOV</c:v>
                </c:pt>
                <c:pt idx="11">
                  <c:v>DIC</c:v>
                </c:pt>
              </c:strCache>
            </c:strRef>
          </c:cat>
          <c:val>
            <c:numRef>
              <c:f>SalesSupport!$AY$4:$AY$15</c:f>
              <c:numCache>
                <c:formatCode>_(* #,##0_);[Red]_(* \-#,##0_);_(* "-"_);_(@_)</c:formatCode>
                <c:ptCount val="12"/>
                <c:pt idx="0">
                  <c:v>2401.5275034084843</c:v>
                </c:pt>
                <c:pt idx="1">
                  <c:v>2205.0520316161314</c:v>
                </c:pt>
                <c:pt idx="2">
                  <c:v>2208.7564316161315</c:v>
                </c:pt>
                <c:pt idx="3">
                  <c:v>2209.5124316161318</c:v>
                </c:pt>
                <c:pt idx="4">
                  <c:v>2208.6178316161318</c:v>
                </c:pt>
                <c:pt idx="5">
                  <c:v>2207.1940316161317</c:v>
                </c:pt>
                <c:pt idx="6">
                  <c:v>2207.3830316161316</c:v>
                </c:pt>
                <c:pt idx="7">
                  <c:v>2249.2248577399473</c:v>
                </c:pt>
                <c:pt idx="8">
                  <c:v>2588.7633998082019</c:v>
                </c:pt>
                <c:pt idx="9">
                  <c:v>2440.5343509934523</c:v>
                </c:pt>
                <c:pt idx="10">
                  <c:v>2314.0056747751778</c:v>
                </c:pt>
                <c:pt idx="11">
                  <c:v>2571.7578433278641</c:v>
                </c:pt>
              </c:numCache>
            </c:numRef>
          </c:val>
        </c:ser>
        <c:ser>
          <c:idx val="2"/>
          <c:order val="2"/>
          <c:tx>
            <c:strRef>
              <c:f>Savings!$AE$2</c:f>
              <c:strCache>
                <c:ptCount val="1"/>
                <c:pt idx="0">
                  <c:v>Savings ($)</c:v>
                </c:pt>
              </c:strCache>
            </c:strRef>
          </c:tx>
          <c:spPr>
            <a:solidFill>
              <a:srgbClr val="FFFF00"/>
            </a:solidFill>
            <a:ln>
              <a:solidFill>
                <a:sysClr val="windowText" lastClr="000000"/>
              </a:solidFill>
            </a:ln>
            <a:effectLst/>
          </c:spPr>
          <c:invertIfNegative val="0"/>
          <c:cat>
            <c:strRef>
              <c:f>SalesSupport!$AD$4:$AD$15</c:f>
              <c:strCache>
                <c:ptCount val="12"/>
                <c:pt idx="0">
                  <c:v>ENE</c:v>
                </c:pt>
                <c:pt idx="1">
                  <c:v>FEB</c:v>
                </c:pt>
                <c:pt idx="2">
                  <c:v>MAR</c:v>
                </c:pt>
                <c:pt idx="3">
                  <c:v>ABR</c:v>
                </c:pt>
                <c:pt idx="4">
                  <c:v>MAY</c:v>
                </c:pt>
                <c:pt idx="5">
                  <c:v>JUN</c:v>
                </c:pt>
                <c:pt idx="6">
                  <c:v>JUL</c:v>
                </c:pt>
                <c:pt idx="7">
                  <c:v>AGO</c:v>
                </c:pt>
                <c:pt idx="8">
                  <c:v>SEP</c:v>
                </c:pt>
                <c:pt idx="9">
                  <c:v>OCT</c:v>
                </c:pt>
                <c:pt idx="10">
                  <c:v>NOV</c:v>
                </c:pt>
                <c:pt idx="11">
                  <c:v>DIC</c:v>
                </c:pt>
              </c:strCache>
            </c:strRef>
          </c:cat>
          <c:val>
            <c:numRef>
              <c:f>SalesSupport!$AZ$4:$AZ$15</c:f>
              <c:numCache>
                <c:formatCode>_(* #,##0_);[Red]_(* \-#,##0_);_(* "-"_);_(@_)</c:formatCode>
                <c:ptCount val="12"/>
                <c:pt idx="0">
                  <c:v>337.29669659151614</c:v>
                </c:pt>
                <c:pt idx="1">
                  <c:v>629.33056838386892</c:v>
                </c:pt>
                <c:pt idx="2">
                  <c:v>852.9805683838681</c:v>
                </c:pt>
                <c:pt idx="3">
                  <c:v>810.14056838386841</c:v>
                </c:pt>
                <c:pt idx="4">
                  <c:v>670.28056838386829</c:v>
                </c:pt>
                <c:pt idx="5">
                  <c:v>660.83056838386847</c:v>
                </c:pt>
                <c:pt idx="6">
                  <c:v>656.42056838386861</c:v>
                </c:pt>
                <c:pt idx="7">
                  <c:v>566.8751422600526</c:v>
                </c:pt>
                <c:pt idx="8">
                  <c:v>202.14920019179863</c:v>
                </c:pt>
                <c:pt idx="9">
                  <c:v>112.0492490065476</c:v>
                </c:pt>
                <c:pt idx="10">
                  <c:v>320.616525224822</c:v>
                </c:pt>
                <c:pt idx="11">
                  <c:v>98.39635667213588</c:v>
                </c:pt>
              </c:numCache>
            </c:numRef>
          </c:val>
        </c:ser>
        <c:dLbls>
          <c:showLegendKey val="0"/>
          <c:showVal val="0"/>
          <c:showCatName val="0"/>
          <c:showSerName val="0"/>
          <c:showPercent val="0"/>
          <c:showBubbleSize val="0"/>
        </c:dLbls>
        <c:gapWidth val="219"/>
        <c:overlap val="-27"/>
        <c:axId val="209333448"/>
        <c:axId val="209329528"/>
      </c:barChart>
      <c:catAx>
        <c:axId val="20933344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crossAx val="209329528"/>
        <c:crosses val="autoZero"/>
        <c:auto val="1"/>
        <c:lblAlgn val="ctr"/>
        <c:lblOffset val="100"/>
        <c:noMultiLvlLbl val="0"/>
      </c:catAx>
      <c:valAx>
        <c:axId val="2093295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Arial" panose="020B0604020202020204" pitchFamily="34" charset="0"/>
                    <a:ea typeface="+mn-ea"/>
                    <a:cs typeface="+mn-cs"/>
                  </a:defRPr>
                </a:pPr>
                <a:r>
                  <a:rPr lang="en-US" b="1" i="0" baseline="0">
                    <a:latin typeface="Arial" panose="020B0604020202020204" pitchFamily="34" charset="0"/>
                  </a:rPr>
                  <a:t>MXN</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Arial" panose="020B0604020202020204" pitchFamily="34" charset="0"/>
                  <a:ea typeface="+mn-ea"/>
                  <a:cs typeface="+mn-cs"/>
                </a:defRPr>
              </a:pPr>
              <a:endParaRPr lang="en-US"/>
            </a:p>
          </c:txPr>
        </c:title>
        <c:numFmt formatCode="_(* #,##0_);[Red]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crossAx val="209333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3.png"/><Relationship Id="rId4"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eg"/><Relationship Id="rId5" Type="http://schemas.openxmlformats.org/officeDocument/2006/relationships/chart" Target="../charts/chart4.xml"/><Relationship Id="rId4"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9525</xdr:colOff>
          <xdr:row>30</xdr:row>
          <xdr:rowOff>9525</xdr:rowOff>
        </xdr:from>
        <xdr:to>
          <xdr:col>9</xdr:col>
          <xdr:colOff>0</xdr:colOff>
          <xdr:row>33</xdr:row>
          <xdr:rowOff>9525</xdr:rowOff>
        </xdr:to>
        <xdr:sp macro="" textlink="">
          <xdr:nvSpPr>
            <xdr:cNvPr id="77852" name="Button 28" hidden="1">
              <a:extLst>
                <a:ext uri="{63B3BB69-23CF-44E3-9099-C40C66FF867C}">
                  <a14:compatExt spid="_x0000_s778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 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35</xdr:row>
          <xdr:rowOff>19050</xdr:rowOff>
        </xdr:from>
        <xdr:to>
          <xdr:col>9</xdr:col>
          <xdr:colOff>9525</xdr:colOff>
          <xdr:row>38</xdr:row>
          <xdr:rowOff>19050</xdr:rowOff>
        </xdr:to>
        <xdr:sp macro="" textlink="">
          <xdr:nvSpPr>
            <xdr:cNvPr id="77859" name="Button 35" hidden="1">
              <a:extLst>
                <a:ext uri="{63B3BB69-23CF-44E3-9099-C40C66FF867C}">
                  <a14:compatExt spid="_x0000_s778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39</xdr:row>
          <xdr:rowOff>9525</xdr:rowOff>
        </xdr:from>
        <xdr:to>
          <xdr:col>9</xdr:col>
          <xdr:colOff>9525</xdr:colOff>
          <xdr:row>42</xdr:row>
          <xdr:rowOff>9525</xdr:rowOff>
        </xdr:to>
        <xdr:sp macro="" textlink="">
          <xdr:nvSpPr>
            <xdr:cNvPr id="77875" name="Button 51" hidden="1">
              <a:extLst>
                <a:ext uri="{63B3BB69-23CF-44E3-9099-C40C66FF867C}">
                  <a14:compatExt spid="_x0000_s778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26</xdr:row>
          <xdr:rowOff>9525</xdr:rowOff>
        </xdr:from>
        <xdr:to>
          <xdr:col>9</xdr:col>
          <xdr:colOff>0</xdr:colOff>
          <xdr:row>29</xdr:row>
          <xdr:rowOff>9525</xdr:rowOff>
        </xdr:to>
        <xdr:sp macro="" textlink="">
          <xdr:nvSpPr>
            <xdr:cNvPr id="77878" name="Button 54" hidden="1">
              <a:extLst>
                <a:ext uri="{63B3BB69-23CF-44E3-9099-C40C66FF867C}">
                  <a14:compatExt spid="_x0000_s778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Recommend Systems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76</xdr:row>
      <xdr:rowOff>0</xdr:rowOff>
    </xdr:from>
    <xdr:to>
      <xdr:col>5</xdr:col>
      <xdr:colOff>0</xdr:colOff>
      <xdr:row>96</xdr:row>
      <xdr:rowOff>123825</xdr:rowOff>
    </xdr:to>
    <xdr:graphicFrame macro="">
      <xdr:nvGraphicFramePr>
        <xdr:cNvPr id="26"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76</xdr:row>
      <xdr:rowOff>0</xdr:rowOff>
    </xdr:from>
    <xdr:to>
      <xdr:col>7</xdr:col>
      <xdr:colOff>0</xdr:colOff>
      <xdr:row>96</xdr:row>
      <xdr:rowOff>127000</xdr:rowOff>
    </xdr:to>
    <xdr:graphicFrame macro="">
      <xdr:nvGraphicFramePr>
        <xdr:cNvPr id="27"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36</xdr:row>
      <xdr:rowOff>8468</xdr:rowOff>
    </xdr:from>
    <xdr:to>
      <xdr:col>5</xdr:col>
      <xdr:colOff>114300</xdr:colOff>
      <xdr:row>53</xdr:row>
      <xdr:rowOff>0</xdr:rowOff>
    </xdr:to>
    <xdr:sp macro="" textlink="" fLocksText="0">
      <xdr:nvSpPr>
        <xdr:cNvPr id="14" name="Picture 14"/>
        <xdr:cNvSpPr>
          <a:spLocks noChangeArrowheads="1"/>
        </xdr:cNvSpPr>
      </xdr:nvSpPr>
      <xdr:spPr bwMode="auto">
        <a:xfrm>
          <a:off x="0" y="7295093"/>
          <a:ext cx="4095750" cy="2753782"/>
        </a:xfrm>
        <a:prstGeom prst="rect">
          <a:avLst/>
        </a:prstGeom>
        <a:blipFill dpi="0" rotWithShape="0">
          <a:blip xmlns:r="http://schemas.openxmlformats.org/officeDocument/2006/relationships" r:embed="rId3"/>
          <a:srcRect/>
          <a:stretch>
            <a:fillRect/>
          </a:stretch>
        </a:blipFill>
        <a:ln>
          <a:noFill/>
        </a:ln>
        <a:effectLst/>
        <a:extLst>
          <a:ext uri="{91240B29-F687-4F45-9708-019B960494DF}">
            <a14:hiddenLine xmlns:a14="http://schemas.microsoft.com/office/drawing/2010/main" w="9525" cap="flat">
              <a:solidFill>
                <a:srgbClr val="808080"/>
              </a:solidFill>
              <a:round/>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vertOverflow="clip" wrap="square" lIns="90000" tIns="46800" rIns="90000" bIns="46800" anchor="t"/>
        <a:lstStyle/>
        <a:p>
          <a:pPr algn="ctr" rtl="0">
            <a:defRPr sz="1000"/>
          </a:pPr>
          <a:r>
            <a:rPr lang="en-US" sz="1200" b="0" i="0" u="none" strike="noStrike" baseline="0">
              <a:solidFill>
                <a:srgbClr val="000000"/>
              </a:solidFill>
              <a:latin typeface="Times New Roman"/>
              <a:ea typeface="Times New Roman"/>
              <a:cs typeface="Times New Roman"/>
            </a:rPr>
            <a:t> </a:t>
          </a:r>
        </a:p>
      </xdr:txBody>
    </xdr:sp>
    <xdr:clientData/>
  </xdr:twoCellAnchor>
  <xdr:twoCellAnchor>
    <xdr:from>
      <xdr:col>5</xdr:col>
      <xdr:colOff>113349</xdr:colOff>
      <xdr:row>35</xdr:row>
      <xdr:rowOff>161924</xdr:rowOff>
    </xdr:from>
    <xdr:to>
      <xdr:col>7</xdr:col>
      <xdr:colOff>0</xdr:colOff>
      <xdr:row>52</xdr:row>
      <xdr:rowOff>161924</xdr:rowOff>
    </xdr:to>
    <xdr:pic>
      <xdr:nvPicPr>
        <xdr:cNvPr id="15" name="Graphics 2"/>
        <xdr:cNvPicPr>
          <a:picLocks noChangeAspect="1" noChangeArrowheads="1"/>
        </xdr:cNvPicPr>
      </xdr:nvPicPr>
      <xdr:blipFill>
        <a:blip xmlns:r="http://schemas.openxmlformats.org/officeDocument/2006/relationships" r:embed="rId4"/>
        <a:srcRect/>
        <a:stretch>
          <a:fillRect/>
        </a:stretch>
      </xdr:blipFill>
      <xdr:spPr bwMode="auto">
        <a:xfrm>
          <a:off x="4094799" y="7286624"/>
          <a:ext cx="6182676" cy="2752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cap="flat">
              <a:solidFill>
                <a:srgbClr val="808080"/>
              </a:solidFill>
              <a:round/>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pic>
    <xdr:clientData/>
  </xdr:twoCellAnchor>
  <xdr:twoCellAnchor editAs="oneCell">
    <xdr:from>
      <xdr:col>0</xdr:col>
      <xdr:colOff>0</xdr:colOff>
      <xdr:row>0</xdr:row>
      <xdr:rowOff>0</xdr:rowOff>
    </xdr:from>
    <xdr:to>
      <xdr:col>3</xdr:col>
      <xdr:colOff>639535</xdr:colOff>
      <xdr:row>4</xdr:row>
      <xdr:rowOff>9525</xdr:rowOff>
    </xdr:to>
    <xdr:pic>
      <xdr:nvPicPr>
        <xdr:cNvPr id="3" name="Picture 2"/>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0" y="0"/>
          <a:ext cx="3163660" cy="885825"/>
        </a:xfrm>
        <a:prstGeom prst="rect">
          <a:avLst/>
        </a:prstGeom>
      </xdr:spPr>
    </xdr:pic>
    <xdr:clientData/>
  </xdr:twoCellAnchor>
  <xdr:twoCellAnchor editAs="oneCell">
    <xdr:from>
      <xdr:col>0</xdr:col>
      <xdr:colOff>0</xdr:colOff>
      <xdr:row>54</xdr:row>
      <xdr:rowOff>0</xdr:rowOff>
    </xdr:from>
    <xdr:to>
      <xdr:col>3</xdr:col>
      <xdr:colOff>639535</xdr:colOff>
      <xdr:row>58</xdr:row>
      <xdr:rowOff>9525</xdr:rowOff>
    </xdr:to>
    <xdr:pic>
      <xdr:nvPicPr>
        <xdr:cNvPr id="11" name="Picture 10"/>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0" y="11696700"/>
          <a:ext cx="3163660" cy="885825"/>
        </a:xfrm>
        <a:prstGeom prst="rect">
          <a:avLst/>
        </a:prstGeom>
      </xdr:spPr>
    </xdr:pic>
    <xdr:clientData/>
  </xdr:twoCellAnchor>
  <xdr:twoCellAnchor editAs="oneCell">
    <xdr:from>
      <xdr:col>0</xdr:col>
      <xdr:colOff>0</xdr:colOff>
      <xdr:row>130</xdr:row>
      <xdr:rowOff>0</xdr:rowOff>
    </xdr:from>
    <xdr:to>
      <xdr:col>3</xdr:col>
      <xdr:colOff>639535</xdr:colOff>
      <xdr:row>135</xdr:row>
      <xdr:rowOff>76200</xdr:rowOff>
    </xdr:to>
    <xdr:pic>
      <xdr:nvPicPr>
        <xdr:cNvPr id="13" name="Picture 12"/>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0" y="26555700"/>
          <a:ext cx="3163660" cy="885825"/>
        </a:xfrm>
        <a:prstGeom prst="rect">
          <a:avLst/>
        </a:prstGeom>
      </xdr:spPr>
    </xdr:pic>
    <xdr:clientData/>
  </xdr:twoCellAnchor>
  <xdr:twoCellAnchor editAs="oneCell">
    <xdr:from>
      <xdr:col>0</xdr:col>
      <xdr:colOff>0</xdr:colOff>
      <xdr:row>211</xdr:row>
      <xdr:rowOff>0</xdr:rowOff>
    </xdr:from>
    <xdr:to>
      <xdr:col>3</xdr:col>
      <xdr:colOff>639535</xdr:colOff>
      <xdr:row>216</xdr:row>
      <xdr:rowOff>76200</xdr:rowOff>
    </xdr:to>
    <xdr:pic>
      <xdr:nvPicPr>
        <xdr:cNvPr id="10" name="Picture 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0" y="42748200"/>
          <a:ext cx="3163660" cy="8858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36</xdr:row>
      <xdr:rowOff>8468</xdr:rowOff>
    </xdr:from>
    <xdr:to>
      <xdr:col>5</xdr:col>
      <xdr:colOff>114300</xdr:colOff>
      <xdr:row>53</xdr:row>
      <xdr:rowOff>0</xdr:rowOff>
    </xdr:to>
    <xdr:sp macro="" textlink="" fLocksText="0">
      <xdr:nvSpPr>
        <xdr:cNvPr id="13" name="Picture 14"/>
        <xdr:cNvSpPr>
          <a:spLocks noChangeArrowheads="1"/>
        </xdr:cNvSpPr>
      </xdr:nvSpPr>
      <xdr:spPr bwMode="auto">
        <a:xfrm>
          <a:off x="0" y="7066493"/>
          <a:ext cx="4400550" cy="2744257"/>
        </a:xfrm>
        <a:prstGeom prst="rect">
          <a:avLst/>
        </a:prstGeom>
        <a:blipFill dpi="0" rotWithShape="0">
          <a:blip xmlns:r="http://schemas.openxmlformats.org/officeDocument/2006/relationships" r:embed="rId1"/>
          <a:srcRect/>
          <a:stretch>
            <a:fillRect/>
          </a:stretch>
        </a:blipFill>
        <a:ln>
          <a:noFill/>
        </a:ln>
        <a:effectLst/>
        <a:extLst>
          <a:ext uri="{91240B29-F687-4F45-9708-019B960494DF}">
            <a14:hiddenLine xmlns:a14="http://schemas.microsoft.com/office/drawing/2010/main" w="9525" cap="flat">
              <a:solidFill>
                <a:srgbClr val="808080"/>
              </a:solidFill>
              <a:round/>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vertOverflow="clip" wrap="square" lIns="90000" tIns="46800" rIns="90000" bIns="46800" anchor="t"/>
        <a:lstStyle/>
        <a:p>
          <a:pPr algn="ctr" rtl="0">
            <a:defRPr sz="1000"/>
          </a:pPr>
          <a:r>
            <a:rPr lang="en-US" sz="1200" b="0" i="0" u="none" strike="noStrike" baseline="0">
              <a:solidFill>
                <a:srgbClr val="000000"/>
              </a:solidFill>
              <a:latin typeface="Times New Roman"/>
              <a:ea typeface="Times New Roman"/>
              <a:cs typeface="Times New Roman"/>
            </a:rPr>
            <a:t> </a:t>
          </a:r>
        </a:p>
      </xdr:txBody>
    </xdr:sp>
    <xdr:clientData/>
  </xdr:twoCellAnchor>
  <xdr:twoCellAnchor>
    <xdr:from>
      <xdr:col>5</xdr:col>
      <xdr:colOff>113349</xdr:colOff>
      <xdr:row>35</xdr:row>
      <xdr:rowOff>161924</xdr:rowOff>
    </xdr:from>
    <xdr:to>
      <xdr:col>7</xdr:col>
      <xdr:colOff>9525</xdr:colOff>
      <xdr:row>53</xdr:row>
      <xdr:rowOff>0</xdr:rowOff>
    </xdr:to>
    <xdr:pic>
      <xdr:nvPicPr>
        <xdr:cNvPr id="14" name="Graphics 2"/>
        <xdr:cNvPicPr>
          <a:picLocks noChangeAspect="1" noChangeArrowheads="1"/>
        </xdr:cNvPicPr>
      </xdr:nvPicPr>
      <xdr:blipFill>
        <a:blip xmlns:r="http://schemas.openxmlformats.org/officeDocument/2006/relationships" r:embed="rId2"/>
        <a:srcRect/>
        <a:stretch>
          <a:fillRect/>
        </a:stretch>
      </xdr:blipFill>
      <xdr:spPr bwMode="auto">
        <a:xfrm>
          <a:off x="4399599" y="7058024"/>
          <a:ext cx="6506526" cy="275272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cap="flat">
              <a:solidFill>
                <a:srgbClr val="808080"/>
              </a:solidFill>
              <a:round/>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pic>
    <xdr:clientData/>
  </xdr:twoCellAnchor>
  <xdr:twoCellAnchor editAs="oneCell">
    <xdr:from>
      <xdr:col>0</xdr:col>
      <xdr:colOff>0</xdr:colOff>
      <xdr:row>0</xdr:row>
      <xdr:rowOff>0</xdr:rowOff>
    </xdr:from>
    <xdr:to>
      <xdr:col>3</xdr:col>
      <xdr:colOff>639535</xdr:colOff>
      <xdr:row>4</xdr:row>
      <xdr:rowOff>9525</xdr:rowOff>
    </xdr:to>
    <xdr:pic>
      <xdr:nvPicPr>
        <xdr:cNvPr id="12" name="Picture 11"/>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0"/>
          <a:ext cx="3163660" cy="885825"/>
        </a:xfrm>
        <a:prstGeom prst="rect">
          <a:avLst/>
        </a:prstGeom>
      </xdr:spPr>
    </xdr:pic>
    <xdr:clientData/>
  </xdr:twoCellAnchor>
  <xdr:twoCellAnchor editAs="oneCell">
    <xdr:from>
      <xdr:col>0</xdr:col>
      <xdr:colOff>0</xdr:colOff>
      <xdr:row>54</xdr:row>
      <xdr:rowOff>0</xdr:rowOff>
    </xdr:from>
    <xdr:to>
      <xdr:col>3</xdr:col>
      <xdr:colOff>639535</xdr:colOff>
      <xdr:row>58</xdr:row>
      <xdr:rowOff>9525</xdr:rowOff>
    </xdr:to>
    <xdr:pic>
      <xdr:nvPicPr>
        <xdr:cNvPr id="15" name="Picture 14"/>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11696700"/>
          <a:ext cx="3163660" cy="885825"/>
        </a:xfrm>
        <a:prstGeom prst="rect">
          <a:avLst/>
        </a:prstGeom>
      </xdr:spPr>
    </xdr:pic>
    <xdr:clientData/>
  </xdr:twoCellAnchor>
  <xdr:twoCellAnchor editAs="oneCell">
    <xdr:from>
      <xdr:col>0</xdr:col>
      <xdr:colOff>0</xdr:colOff>
      <xdr:row>130</xdr:row>
      <xdr:rowOff>0</xdr:rowOff>
    </xdr:from>
    <xdr:to>
      <xdr:col>3</xdr:col>
      <xdr:colOff>639535</xdr:colOff>
      <xdr:row>135</xdr:row>
      <xdr:rowOff>76200</xdr:rowOff>
    </xdr:to>
    <xdr:pic>
      <xdr:nvPicPr>
        <xdr:cNvPr id="17" name="Picture 16"/>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26555700"/>
          <a:ext cx="3163660" cy="885825"/>
        </a:xfrm>
        <a:prstGeom prst="rect">
          <a:avLst/>
        </a:prstGeom>
      </xdr:spPr>
    </xdr:pic>
    <xdr:clientData/>
  </xdr:twoCellAnchor>
  <xdr:twoCellAnchor editAs="oneCell">
    <xdr:from>
      <xdr:col>0</xdr:col>
      <xdr:colOff>0</xdr:colOff>
      <xdr:row>211</xdr:row>
      <xdr:rowOff>0</xdr:rowOff>
    </xdr:from>
    <xdr:to>
      <xdr:col>3</xdr:col>
      <xdr:colOff>639535</xdr:colOff>
      <xdr:row>216</xdr:row>
      <xdr:rowOff>76200</xdr:rowOff>
    </xdr:to>
    <xdr:pic>
      <xdr:nvPicPr>
        <xdr:cNvPr id="18" name="Picture 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42748200"/>
          <a:ext cx="3163660" cy="885825"/>
        </a:xfrm>
        <a:prstGeom prst="rect">
          <a:avLst/>
        </a:prstGeom>
      </xdr:spPr>
    </xdr:pic>
    <xdr:clientData/>
  </xdr:twoCellAnchor>
  <xdr:twoCellAnchor>
    <xdr:from>
      <xdr:col>0</xdr:col>
      <xdr:colOff>0</xdr:colOff>
      <xdr:row>76</xdr:row>
      <xdr:rowOff>0</xdr:rowOff>
    </xdr:from>
    <xdr:to>
      <xdr:col>5</xdr:col>
      <xdr:colOff>0</xdr:colOff>
      <xdr:row>96</xdr:row>
      <xdr:rowOff>123825</xdr:rowOff>
    </xdr:to>
    <xdr:graphicFrame macro="">
      <xdr:nvGraphicFramePr>
        <xdr:cNvPr id="11"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0</xdr:colOff>
      <xdr:row>76</xdr:row>
      <xdr:rowOff>0</xdr:rowOff>
    </xdr:from>
    <xdr:to>
      <xdr:col>7</xdr:col>
      <xdr:colOff>0</xdr:colOff>
      <xdr:row>96</xdr:row>
      <xdr:rowOff>127000</xdr:rowOff>
    </xdr:to>
    <xdr:graphicFrame macro="">
      <xdr:nvGraphicFramePr>
        <xdr:cNvPr id="16"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29</xdr:col>
      <xdr:colOff>0</xdr:colOff>
      <xdr:row>21</xdr:row>
      <xdr:rowOff>9531</xdr:rowOff>
    </xdr:from>
    <xdr:to>
      <xdr:col>41</xdr:col>
      <xdr:colOff>0</xdr:colOff>
      <xdr:row>45</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41</xdr:col>
      <xdr:colOff>390525</xdr:colOff>
      <xdr:row>21</xdr:row>
      <xdr:rowOff>4761</xdr:rowOff>
    </xdr:from>
    <xdr:to>
      <xdr:col>52</xdr:col>
      <xdr:colOff>9524</xdr:colOff>
      <xdr:row>45</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127001</xdr:colOff>
      <xdr:row>0</xdr:row>
      <xdr:rowOff>101601</xdr:rowOff>
    </xdr:from>
    <xdr:to>
      <xdr:col>1</xdr:col>
      <xdr:colOff>323850</xdr:colOff>
      <xdr:row>4</xdr:row>
      <xdr:rowOff>133350</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001" y="101601"/>
          <a:ext cx="949324" cy="73659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app.cfe.gob.mx/Aplicaciones/CCFE/Tarifas/Tarifas/tarifas_casa.asp" TargetMode="Externa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hyperlink" Target="http://app.cfe.gob.mx/Aplicaciones/CCFE/Tarifas/Tarifas/Tarifas_industria.asp?Tarifa=CMABT&amp;Anio=2017" TargetMode="External"/></Relationships>
</file>

<file path=xl/worksheets/_rels/sheet14.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hyperlink" Target="http://app.cfe.gob.mx/Aplicaciones/CCFE/Tarifas/Tarifas/tarifas_casa.asp"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55"/>
  <sheetViews>
    <sheetView zoomScaleNormal="100" workbookViewId="0">
      <pane ySplit="1" topLeftCell="A2" activePane="bottomLeft" state="frozen"/>
      <selection activeCell="R7" sqref="R7"/>
      <selection pane="bottomLeft" activeCell="A2" sqref="A2"/>
    </sheetView>
  </sheetViews>
  <sheetFormatPr defaultRowHeight="10.5" x14ac:dyDescent="0.15"/>
  <cols>
    <col min="1" max="1" width="36.7109375" style="53" bestFit="1" customWidth="1"/>
    <col min="2" max="2" width="11.5703125" style="53" bestFit="1" customWidth="1"/>
    <col min="3" max="4" width="11.5703125" style="179" customWidth="1"/>
    <col min="5" max="5" width="7.28515625" style="53" bestFit="1" customWidth="1"/>
    <col min="6" max="6" width="36.5703125" style="53" bestFit="1" customWidth="1"/>
    <col min="7" max="7" width="11.5703125" style="53" bestFit="1" customWidth="1"/>
    <col min="8" max="8" width="9.140625" style="53"/>
    <col min="9" max="9" width="9.140625" style="179"/>
    <col min="10" max="16384" width="9.140625" style="53"/>
  </cols>
  <sheetData>
    <row r="1" spans="1:7" ht="11.25" thickBot="1" x14ac:dyDescent="0.2">
      <c r="A1" s="701" t="s">
        <v>19</v>
      </c>
      <c r="B1" s="702"/>
      <c r="C1" s="702"/>
      <c r="D1" s="703"/>
      <c r="F1" s="699" t="s">
        <v>161</v>
      </c>
      <c r="G1" s="700"/>
    </row>
    <row r="2" spans="1:7" ht="11.25" thickTop="1" x14ac:dyDescent="0.15">
      <c r="A2" s="68" t="s">
        <v>132</v>
      </c>
      <c r="B2" s="291">
        <v>18</v>
      </c>
      <c r="C2" s="291"/>
      <c r="D2" s="292"/>
      <c r="F2" s="556" t="s">
        <v>154</v>
      </c>
      <c r="G2" s="69">
        <f>CFE_CargoFijo</f>
        <v>97.25833333333334</v>
      </c>
    </row>
    <row r="3" spans="1:7" x14ac:dyDescent="0.15">
      <c r="A3" s="68" t="s">
        <v>14</v>
      </c>
      <c r="B3" s="293">
        <v>0.16</v>
      </c>
      <c r="C3" s="550" t="s">
        <v>1029</v>
      </c>
      <c r="D3" s="551"/>
      <c r="F3" s="556" t="s">
        <v>155</v>
      </c>
      <c r="G3" s="69">
        <f>CFE_RatePreTaxes</f>
        <v>4.2670833333333329</v>
      </c>
    </row>
    <row r="4" spans="1:7" x14ac:dyDescent="0.15">
      <c r="A4" s="68" t="s">
        <v>68</v>
      </c>
      <c r="B4" s="293">
        <v>0.04</v>
      </c>
      <c r="C4" s="298">
        <v>0.05</v>
      </c>
      <c r="D4" s="174"/>
      <c r="F4" s="556" t="s">
        <v>151</v>
      </c>
      <c r="G4" s="75">
        <f>$G$3*(1+DAP)</f>
        <v>4.6937916666666668</v>
      </c>
    </row>
    <row r="5" spans="1:7" x14ac:dyDescent="0.15">
      <c r="A5" s="68" t="s">
        <v>160</v>
      </c>
      <c r="B5" s="293">
        <v>0</v>
      </c>
      <c r="C5" s="293"/>
      <c r="D5" s="294"/>
      <c r="F5" s="556" t="s">
        <v>144</v>
      </c>
      <c r="G5" s="70">
        <f>Savings!$J$6</f>
        <v>33729.695999999996</v>
      </c>
    </row>
    <row r="6" spans="1:7" x14ac:dyDescent="0.15">
      <c r="A6" s="68" t="s">
        <v>15</v>
      </c>
      <c r="B6" s="293">
        <v>0.08</v>
      </c>
      <c r="C6" s="293"/>
      <c r="D6" s="294"/>
      <c r="F6" s="556"/>
      <c r="G6" s="64"/>
    </row>
    <row r="7" spans="1:7" x14ac:dyDescent="0.15">
      <c r="A7" s="68"/>
      <c r="B7" s="63"/>
      <c r="C7" s="63"/>
      <c r="D7" s="64"/>
      <c r="F7" s="556" t="s">
        <v>481</v>
      </c>
      <c r="G7" s="71">
        <f>G4*(1-Inputs_MySOL!G39)</f>
        <v>3.7550333333333334</v>
      </c>
    </row>
    <row r="8" spans="1:7" x14ac:dyDescent="0.15">
      <c r="A8" s="68" t="s">
        <v>817</v>
      </c>
      <c r="B8" s="295">
        <v>0</v>
      </c>
      <c r="C8" s="63"/>
      <c r="D8" s="64"/>
      <c r="E8" s="179"/>
      <c r="F8" s="556" t="s">
        <v>482</v>
      </c>
      <c r="G8" s="70">
        <f>Savings!AD6</f>
        <v>27872.990576301974</v>
      </c>
    </row>
    <row r="9" spans="1:7" x14ac:dyDescent="0.15">
      <c r="A9" s="68" t="s">
        <v>168</v>
      </c>
      <c r="B9" s="295">
        <v>1</v>
      </c>
      <c r="C9" s="295"/>
      <c r="D9" s="296"/>
      <c r="F9" s="556" t="s">
        <v>167</v>
      </c>
      <c r="G9" s="174">
        <f>Savings!$AF$6</f>
        <v>0.17363647225572454</v>
      </c>
    </row>
    <row r="10" spans="1:7" x14ac:dyDescent="0.15">
      <c r="A10" s="68" t="s">
        <v>487</v>
      </c>
      <c r="B10" s="111">
        <f>1-(EqInv_Pct+DebtInv_Pct)</f>
        <v>0</v>
      </c>
      <c r="C10" s="111"/>
      <c r="D10" s="297"/>
      <c r="F10" s="556"/>
      <c r="G10" s="64"/>
    </row>
    <row r="11" spans="1:7" x14ac:dyDescent="0.15">
      <c r="A11" s="68"/>
      <c r="B11" s="63"/>
      <c r="C11" s="63"/>
      <c r="D11" s="64"/>
      <c r="F11" s="556" t="s">
        <v>35</v>
      </c>
      <c r="G11" s="95">
        <f>Inputs!$I$4</f>
        <v>10</v>
      </c>
    </row>
    <row r="12" spans="1:7" x14ac:dyDescent="0.15">
      <c r="A12" s="68" t="s">
        <v>69</v>
      </c>
      <c r="B12" s="293">
        <v>3.5000000000000003E-2</v>
      </c>
      <c r="C12" s="298">
        <v>0.05</v>
      </c>
      <c r="D12" s="174"/>
      <c r="F12" s="556" t="s">
        <v>139</v>
      </c>
      <c r="G12" s="71">
        <f>VLOOKUP(Inputs!$F$4,Components!$A$2:$N$23,12,FALSE)</f>
        <v>325</v>
      </c>
    </row>
    <row r="13" spans="1:7" x14ac:dyDescent="0.15">
      <c r="A13" s="68" t="s">
        <v>148</v>
      </c>
      <c r="B13" s="293">
        <v>0</v>
      </c>
      <c r="C13" s="293"/>
      <c r="D13" s="294"/>
      <c r="F13" s="556" t="s">
        <v>140</v>
      </c>
      <c r="G13" s="71">
        <f>VLOOKUP(Inputs!$F$4,Components!$A$2:$N$23,13,FALSE)</f>
        <v>298.5</v>
      </c>
    </row>
    <row r="14" spans="1:7" x14ac:dyDescent="0.15">
      <c r="A14" s="68" t="s">
        <v>818</v>
      </c>
      <c r="B14" s="293">
        <v>0.08</v>
      </c>
      <c r="C14" s="293"/>
      <c r="D14" s="294"/>
      <c r="F14" s="556"/>
      <c r="G14" s="64"/>
    </row>
    <row r="15" spans="1:7" x14ac:dyDescent="0.15">
      <c r="A15" s="68" t="s">
        <v>835</v>
      </c>
      <c r="B15" s="298">
        <f>DebtInv_Pct*DebtInv_ReqIRR+EqInv_Pct*EqInv_ReqIRR+MySOL_Pct*EqInv_ReqIRR</f>
        <v>0.15</v>
      </c>
      <c r="C15" s="293"/>
      <c r="D15" s="294"/>
      <c r="E15" s="179"/>
      <c r="F15" s="556" t="s">
        <v>142</v>
      </c>
      <c r="G15" s="96">
        <f>VLOOKUP(Inputs!$F$5,Components!$A$32:$N$103,13,FALSE)</f>
        <v>0.96499999999999997</v>
      </c>
    </row>
    <row r="16" spans="1:7" x14ac:dyDescent="0.15">
      <c r="A16" s="68"/>
      <c r="B16" s="298"/>
      <c r="C16" s="298"/>
      <c r="D16" s="174"/>
      <c r="F16" s="556"/>
      <c r="G16" s="64"/>
    </row>
    <row r="17" spans="1:9" x14ac:dyDescent="0.15">
      <c r="A17" s="280" t="s">
        <v>182</v>
      </c>
      <c r="B17" s="298">
        <f>EqInv_Pct/SUM($B$9:$B$10)</f>
        <v>1</v>
      </c>
      <c r="C17" s="298"/>
      <c r="D17" s="174"/>
      <c r="F17" s="646" t="s">
        <v>158</v>
      </c>
      <c r="G17" s="97">
        <f>Sys_NumPanels*Panel_STC</f>
        <v>3250</v>
      </c>
    </row>
    <row r="18" spans="1:9" x14ac:dyDescent="0.15">
      <c r="A18" s="280" t="s">
        <v>488</v>
      </c>
      <c r="B18" s="298">
        <f>B10/SUM($B$9:$B$10)</f>
        <v>0</v>
      </c>
      <c r="C18" s="298"/>
      <c r="D18" s="174"/>
      <c r="F18" s="556" t="s">
        <v>156</v>
      </c>
      <c r="G18" s="95">
        <f>IFERROR(IFERROR(Sys_NumPanels*Panel_PTC*Sys_SunHours*InverterLossPct*(1-Sys_OtherLossPct)*365.25,0)/1000,0)</f>
        <v>5738.0070962362506</v>
      </c>
    </row>
    <row r="19" spans="1:9" x14ac:dyDescent="0.15">
      <c r="A19" s="68"/>
      <c r="B19" s="63"/>
      <c r="C19" s="63"/>
      <c r="D19" s="64"/>
      <c r="F19" s="556" t="s">
        <v>157</v>
      </c>
      <c r="G19" s="95">
        <f>IFERROR(Sys_kWhPerYear*1000/(Sys_NumPanels*Panel_STC),"NaN")</f>
        <v>1765.5406449957693</v>
      </c>
    </row>
    <row r="20" spans="1:9" x14ac:dyDescent="0.15">
      <c r="A20" s="68" t="s">
        <v>983</v>
      </c>
      <c r="B20" s="442">
        <v>100</v>
      </c>
      <c r="C20" s="299"/>
      <c r="D20" s="300"/>
      <c r="F20" s="556"/>
      <c r="G20" s="64"/>
    </row>
    <row r="21" spans="1:9" x14ac:dyDescent="0.15">
      <c r="A21" s="68" t="s">
        <v>984</v>
      </c>
      <c r="B21" s="499">
        <f>IFERROR(IF(OR(Scenario_Variable="Final Payment",Scenario_Variable="Pago Final"),INDEX(Rng_ScenarioData,MATCH(Cust_SavingsRate,Rng_SavingsRates,0),MATCH(Cust_LeaseTermYears,Rng_LeaseTerms,0)),Cust_NominalPymtAtTermEnd+AddToFinalPymt_OM),0)</f>
        <v>100</v>
      </c>
      <c r="C21" s="499"/>
      <c r="D21" s="70"/>
      <c r="F21" s="556" t="s">
        <v>173</v>
      </c>
      <c r="G21" s="297">
        <f>IFERROR(Sys_kWhPerYear/CustUsage_kWhPerYear,"NaN")</f>
        <v>0.95633451603937514</v>
      </c>
    </row>
    <row r="22" spans="1:9" x14ac:dyDescent="0.15">
      <c r="A22" s="68"/>
      <c r="B22" s="499"/>
      <c r="C22" s="499"/>
      <c r="D22" s="70"/>
      <c r="F22" s="556"/>
      <c r="G22" s="64"/>
    </row>
    <row r="23" spans="1:9" x14ac:dyDescent="0.15">
      <c r="A23" s="68" t="s">
        <v>180</v>
      </c>
      <c r="B23" s="301">
        <v>20</v>
      </c>
      <c r="C23" s="112">
        <v>28</v>
      </c>
      <c r="D23" s="75"/>
      <c r="F23" s="556" t="s">
        <v>594</v>
      </c>
      <c r="G23" s="297">
        <f ca="1">Model!C79</f>
        <v>0.20646577477455144</v>
      </c>
      <c r="H23" s="179"/>
    </row>
    <row r="24" spans="1:9" x14ac:dyDescent="0.15">
      <c r="A24" s="68" t="s">
        <v>181</v>
      </c>
      <c r="B24" s="302">
        <f>OpExpensePerKwUSD*(Sys_SizeWatts/1000)*MXNperUSD</f>
        <v>1170</v>
      </c>
      <c r="C24" s="302"/>
      <c r="D24" s="95"/>
      <c r="F24" s="556" t="s">
        <v>302</v>
      </c>
      <c r="G24" s="297">
        <f ca="1">Model!C80</f>
        <v>0.15000000596046451</v>
      </c>
      <c r="H24" s="179"/>
    </row>
    <row r="25" spans="1:9" x14ac:dyDescent="0.15">
      <c r="A25" s="68" t="s">
        <v>489</v>
      </c>
      <c r="B25" s="293">
        <v>0.5</v>
      </c>
      <c r="C25" s="293"/>
      <c r="D25" s="294"/>
      <c r="F25" s="556" t="s">
        <v>828</v>
      </c>
      <c r="G25" s="297" t="str">
        <f ca="1">Model!C81</f>
        <v>NaN</v>
      </c>
      <c r="H25" s="179"/>
    </row>
    <row r="26" spans="1:9" x14ac:dyDescent="0.15">
      <c r="A26" s="68"/>
      <c r="B26" s="293"/>
      <c r="C26" s="293"/>
      <c r="D26" s="294"/>
      <c r="F26" s="556" t="s">
        <v>879</v>
      </c>
      <c r="G26" s="297" t="str">
        <f ca="1">Model!C82</f>
        <v>NaN</v>
      </c>
      <c r="H26" s="179"/>
    </row>
    <row r="27" spans="1:9" x14ac:dyDescent="0.15">
      <c r="A27" s="68" t="s">
        <v>145</v>
      </c>
      <c r="B27" s="299">
        <v>7.0000000000000001E-3</v>
      </c>
      <c r="C27" s="549">
        <v>7.0000000000000001E-3</v>
      </c>
      <c r="D27" s="96"/>
      <c r="F27" s="556" t="s">
        <v>880</v>
      </c>
      <c r="G27" s="297" t="str">
        <f ca="1">Model!C83</f>
        <v>NaN</v>
      </c>
      <c r="H27" s="179"/>
    </row>
    <row r="28" spans="1:9" x14ac:dyDescent="0.15">
      <c r="A28" s="68" t="s">
        <v>1018</v>
      </c>
      <c r="B28" s="442">
        <v>12</v>
      </c>
      <c r="C28" s="293"/>
      <c r="D28" s="294"/>
      <c r="F28" s="556"/>
      <c r="G28" s="64"/>
      <c r="H28" s="179"/>
    </row>
    <row r="29" spans="1:9" x14ac:dyDescent="0.15">
      <c r="A29" s="68" t="s">
        <v>1027</v>
      </c>
      <c r="B29" s="302">
        <f>(Sys_InverterCostMXN_PreIVA*((1+InverterDiscountRate)^(InverterReplaceYr-1))*((1+InflationRate)^(InverterReplaceYr-1)))*(1+Sys_SPPMarkupEffective)*(1+IVA)</f>
        <v>23922.967403817089</v>
      </c>
      <c r="C29" s="523"/>
      <c r="D29" s="552"/>
      <c r="E29" s="78"/>
      <c r="F29" s="646" t="s">
        <v>1033</v>
      </c>
      <c r="G29" s="75">
        <f>Unit_Internal!C54</f>
        <v>40.189864831999998</v>
      </c>
    </row>
    <row r="30" spans="1:9" ht="10.5" customHeight="1" x14ac:dyDescent="0.15">
      <c r="A30" s="68" t="s">
        <v>1020</v>
      </c>
      <c r="B30" s="293">
        <v>-3.1905000000000003E-2</v>
      </c>
      <c r="C30" s="293"/>
      <c r="D30" s="294"/>
      <c r="E30" s="78"/>
      <c r="F30" s="646" t="s">
        <v>1032</v>
      </c>
      <c r="G30" s="70">
        <f>Sys_SizeWatts*G29</f>
        <v>130617.06070399999</v>
      </c>
    </row>
    <row r="31" spans="1:9" x14ac:dyDescent="0.15">
      <c r="A31" s="68" t="s">
        <v>1019</v>
      </c>
      <c r="B31" s="301">
        <v>0</v>
      </c>
      <c r="C31" s="112">
        <v>0.01</v>
      </c>
      <c r="D31" s="75"/>
      <c r="E31" s="78"/>
      <c r="F31" s="556"/>
      <c r="G31" s="64"/>
    </row>
    <row r="32" spans="1:9" s="179" customFormat="1" x14ac:dyDescent="0.15">
      <c r="A32" s="68" t="s">
        <v>1025</v>
      </c>
      <c r="B32" s="302">
        <f>EquipReplaceReservePerW_USD*(Sys_SizeWatts)*MXNperUSD</f>
        <v>0</v>
      </c>
      <c r="C32" s="293"/>
      <c r="D32" s="294"/>
      <c r="E32" s="78"/>
      <c r="F32" s="556" t="s">
        <v>483</v>
      </c>
      <c r="G32" s="70">
        <f>Model!C4</f>
        <v>30142.398624000009</v>
      </c>
      <c r="H32" s="53"/>
      <c r="I32" s="436"/>
    </row>
    <row r="33" spans="1:9" x14ac:dyDescent="0.15">
      <c r="A33" s="68" t="s">
        <v>1021</v>
      </c>
      <c r="B33" s="293">
        <v>0.02</v>
      </c>
      <c r="C33" s="298">
        <v>0.02</v>
      </c>
      <c r="D33" s="174"/>
      <c r="E33" s="78"/>
      <c r="F33" s="556" t="s">
        <v>484</v>
      </c>
      <c r="G33" s="307">
        <f>Model!C5</f>
        <v>0.23076923076923087</v>
      </c>
      <c r="I33" s="436"/>
    </row>
    <row r="34" spans="1:9" x14ac:dyDescent="0.15">
      <c r="A34" s="68"/>
      <c r="B34" s="63"/>
      <c r="C34" s="63"/>
      <c r="D34" s="64"/>
      <c r="F34" s="556"/>
      <c r="G34" s="64"/>
      <c r="I34" s="436"/>
    </row>
    <row r="35" spans="1:9" x14ac:dyDescent="0.15">
      <c r="A35" s="68" t="s">
        <v>1169</v>
      </c>
      <c r="B35" s="293">
        <v>2.2629999999999998E-3</v>
      </c>
      <c r="C35" s="293"/>
      <c r="D35" s="294"/>
      <c r="F35" s="556" t="s">
        <v>485</v>
      </c>
      <c r="G35" s="70">
        <f>Model!C8</f>
        <v>30142.398624000009</v>
      </c>
      <c r="I35" s="436"/>
    </row>
    <row r="36" spans="1:9" x14ac:dyDescent="0.15">
      <c r="A36" s="556" t="s">
        <v>1031</v>
      </c>
      <c r="B36" s="301">
        <v>0.7</v>
      </c>
      <c r="C36" s="293"/>
      <c r="D36" s="294"/>
      <c r="F36" s="556" t="s">
        <v>486</v>
      </c>
      <c r="G36" s="307">
        <f>Model!C9</f>
        <v>0.23076923076923087</v>
      </c>
      <c r="I36" s="436"/>
    </row>
    <row r="37" spans="1:9" x14ac:dyDescent="0.15">
      <c r="A37" s="68"/>
      <c r="B37" s="293"/>
      <c r="C37" s="293"/>
      <c r="D37" s="294"/>
      <c r="F37" s="556"/>
      <c r="G37" s="307"/>
      <c r="H37" s="179"/>
      <c r="I37" s="436"/>
    </row>
    <row r="38" spans="1:9" x14ac:dyDescent="0.15">
      <c r="A38" s="68" t="s">
        <v>979</v>
      </c>
      <c r="B38" s="456" t="s">
        <v>978</v>
      </c>
      <c r="C38" s="112"/>
      <c r="D38" s="75"/>
      <c r="F38" s="647" t="s">
        <v>199</v>
      </c>
      <c r="G38" s="648">
        <f>Cust_LeaseTermYears</f>
        <v>15</v>
      </c>
      <c r="H38" s="179"/>
      <c r="I38" s="436"/>
    </row>
    <row r="39" spans="1:9" x14ac:dyDescent="0.15">
      <c r="A39" s="68" t="s">
        <v>977</v>
      </c>
      <c r="B39" s="456" t="s">
        <v>978</v>
      </c>
      <c r="C39" s="112"/>
      <c r="D39" s="75"/>
      <c r="F39" s="556" t="s">
        <v>236</v>
      </c>
      <c r="G39" s="297">
        <f>Cust_SavingsRate</f>
        <v>0.2</v>
      </c>
      <c r="H39" s="179"/>
    </row>
    <row r="40" spans="1:9" x14ac:dyDescent="0.15">
      <c r="A40" s="68"/>
      <c r="B40" s="103"/>
      <c r="C40" s="112"/>
      <c r="D40" s="75"/>
      <c r="F40" s="556" t="s">
        <v>195</v>
      </c>
      <c r="G40" s="649">
        <f>IFERROR(IF(OR(Scenario_Variable="Initial Payment",Scenario_Variable="Pago Inicial"),INDEX(Rng_ScenarioData,MATCH(Cust_SavingsRate,Rng_SavingsRates,0),MATCH(Cust_LeaseTermYears,Rng_LeaseTerms,0)),Scenario_InitialPymt),0)</f>
        <v>0</v>
      </c>
      <c r="H40" s="179"/>
    </row>
    <row r="41" spans="1:9" ht="10.5" customHeight="1" x14ac:dyDescent="0.2">
      <c r="A41" s="68" t="s">
        <v>613</v>
      </c>
      <c r="B41" s="704" t="s">
        <v>1116</v>
      </c>
      <c r="C41" s="705"/>
      <c r="D41" s="706"/>
      <c r="F41" s="556"/>
      <c r="G41" s="64"/>
    </row>
    <row r="42" spans="1:9" x14ac:dyDescent="0.15">
      <c r="A42" s="68"/>
      <c r="B42" s="293"/>
      <c r="C42" s="293"/>
      <c r="D42" s="294"/>
      <c r="F42" s="556" t="s">
        <v>608</v>
      </c>
      <c r="G42" s="386">
        <f>Cust_InitialPymt</f>
        <v>0</v>
      </c>
      <c r="H42" s="179"/>
    </row>
    <row r="43" spans="1:9" x14ac:dyDescent="0.15">
      <c r="A43" s="556" t="s">
        <v>1097</v>
      </c>
      <c r="B43" s="293">
        <v>0.15</v>
      </c>
      <c r="C43" s="293"/>
      <c r="D43" s="294"/>
      <c r="E43" s="179"/>
      <c r="F43" s="650" t="s">
        <v>980</v>
      </c>
      <c r="G43" s="386">
        <f>IF(LOWER(InclUpfront_EGauge)="true",MIN(G42, priceEGaugeUSD*MXNperUSD*(1+IVA)),0)</f>
        <v>0</v>
      </c>
      <c r="H43" s="53" t="s">
        <v>601</v>
      </c>
    </row>
    <row r="44" spans="1:9" x14ac:dyDescent="0.15">
      <c r="A44" s="556" t="s">
        <v>1098</v>
      </c>
      <c r="B44" s="293">
        <v>0.3</v>
      </c>
      <c r="C44" s="293"/>
      <c r="D44" s="294"/>
      <c r="E44" s="179"/>
      <c r="F44" s="650" t="s">
        <v>981</v>
      </c>
      <c r="G44" s="386">
        <f>priceEGaugeUSD*MXNperUSD*(1+IVA)-G43</f>
        <v>6347.5199999999995</v>
      </c>
      <c r="H44" s="53" t="s">
        <v>602</v>
      </c>
    </row>
    <row r="45" spans="1:9" x14ac:dyDescent="0.15">
      <c r="A45" s="556" t="s">
        <v>1099</v>
      </c>
      <c r="B45" s="293">
        <v>0.25</v>
      </c>
      <c r="C45" s="293"/>
      <c r="D45" s="294"/>
      <c r="E45" s="179"/>
      <c r="F45" s="650" t="s">
        <v>982</v>
      </c>
      <c r="G45" s="386">
        <f>G42-G43</f>
        <v>0</v>
      </c>
    </row>
    <row r="46" spans="1:9" x14ac:dyDescent="0.15">
      <c r="A46" s="556" t="s">
        <v>1100</v>
      </c>
      <c r="B46" s="293">
        <v>0.17</v>
      </c>
      <c r="C46" s="293"/>
      <c r="D46" s="294"/>
      <c r="E46" s="179"/>
      <c r="F46" s="650" t="s">
        <v>597</v>
      </c>
      <c r="G46" s="386">
        <v>0</v>
      </c>
      <c r="H46" s="53" t="s">
        <v>607</v>
      </c>
    </row>
    <row r="47" spans="1:9" s="179" customFormat="1" x14ac:dyDescent="0.15">
      <c r="A47" s="556"/>
      <c r="B47" s="293"/>
      <c r="C47" s="293"/>
      <c r="D47" s="294"/>
      <c r="F47" s="650" t="s">
        <v>598</v>
      </c>
      <c r="G47" s="386">
        <v>0</v>
      </c>
      <c r="H47" s="53" t="s">
        <v>606</v>
      </c>
    </row>
    <row r="48" spans="1:9" s="179" customFormat="1" x14ac:dyDescent="0.15">
      <c r="A48" s="68"/>
      <c r="B48" s="303" t="s">
        <v>114</v>
      </c>
      <c r="C48" s="303" t="s">
        <v>305</v>
      </c>
      <c r="D48" s="304" t="s">
        <v>306</v>
      </c>
      <c r="E48" s="53"/>
      <c r="F48" s="651" t="s">
        <v>609</v>
      </c>
      <c r="G48" s="652">
        <f>G42-G43-G46</f>
        <v>0</v>
      </c>
      <c r="H48" s="53" t="s">
        <v>605</v>
      </c>
    </row>
    <row r="49" spans="1:8" s="179" customFormat="1" x14ac:dyDescent="0.15">
      <c r="A49" s="68" t="s">
        <v>203</v>
      </c>
      <c r="B49" s="293">
        <v>0.15</v>
      </c>
      <c r="C49" s="293">
        <v>0.14000000000000001</v>
      </c>
      <c r="D49" s="174">
        <f>IF(OR(CFE_RateCategory="DAC",CFE_RateCategory="Tarifa1"),B49,C49)</f>
        <v>0.15</v>
      </c>
      <c r="E49" s="53"/>
      <c r="F49" s="53"/>
      <c r="G49" s="53"/>
      <c r="H49" s="53"/>
    </row>
    <row r="50" spans="1:8" s="179" customFormat="1" x14ac:dyDescent="0.15">
      <c r="A50" s="68" t="s">
        <v>499</v>
      </c>
      <c r="B50" s="707" t="s">
        <v>1096</v>
      </c>
      <c r="C50" s="707"/>
      <c r="D50" s="174">
        <v>0.3</v>
      </c>
      <c r="E50" s="53"/>
      <c r="F50" s="53"/>
      <c r="G50" s="53"/>
      <c r="H50" s="53"/>
    </row>
    <row r="51" spans="1:8" s="179" customFormat="1" x14ac:dyDescent="0.15">
      <c r="A51" s="68" t="s">
        <v>172</v>
      </c>
      <c r="B51" s="707" t="s">
        <v>1096</v>
      </c>
      <c r="C51" s="707"/>
      <c r="D51" s="174">
        <v>0</v>
      </c>
      <c r="E51" s="53"/>
    </row>
    <row r="52" spans="1:8" x14ac:dyDescent="0.15">
      <c r="A52" s="68" t="s">
        <v>610</v>
      </c>
      <c r="B52" s="293">
        <v>0.25</v>
      </c>
      <c r="C52" s="299">
        <v>0.2</v>
      </c>
      <c r="D52" s="174">
        <f>IF(OR(LOWER(Cust_State)="cdmx"),0.2,IF(OR(CFE_RateCategory="DAC",CFE_RateCategory="Tarifa1"),B52,C52))</f>
        <v>0.25</v>
      </c>
      <c r="F52" s="179"/>
      <c r="G52" s="179"/>
      <c r="H52" s="179"/>
    </row>
    <row r="53" spans="1:8" x14ac:dyDescent="0.15">
      <c r="A53" s="72" t="s">
        <v>611</v>
      </c>
      <c r="B53" s="305">
        <v>0.05</v>
      </c>
      <c r="C53" s="305">
        <v>0.05</v>
      </c>
      <c r="D53" s="306">
        <f>IF(OR(CFE_RateCategory="DAC",CFE_RateCategory="Tarifa1"),B53,C53)</f>
        <v>0.05</v>
      </c>
      <c r="F53" s="179"/>
      <c r="G53" s="179"/>
      <c r="H53" s="179"/>
    </row>
    <row r="54" spans="1:8" x14ac:dyDescent="0.15">
      <c r="F54" s="179"/>
      <c r="G54" s="179"/>
      <c r="H54" s="179"/>
    </row>
    <row r="55" spans="1:8" x14ac:dyDescent="0.15">
      <c r="F55" s="179"/>
      <c r="G55" s="179"/>
      <c r="H55" s="179"/>
    </row>
  </sheetData>
  <sheetProtection selectLockedCells="1" selectUnlockedCells="1"/>
  <dataConsolidate/>
  <mergeCells count="5">
    <mergeCell ref="F1:G1"/>
    <mergeCell ref="A1:D1"/>
    <mergeCell ref="B41:D41"/>
    <mergeCell ref="B50:C50"/>
    <mergeCell ref="B51:C51"/>
  </mergeCells>
  <dataValidations disablePrompts="1" count="1">
    <dataValidation type="list" allowBlank="1" showInputMessage="1" showErrorMessage="1" sqref="B38:B39">
      <formula1>"True,False"</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Components!$A$2:$A$11</xm:f>
          </x14:formula1>
          <xm:sqref>B41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103"/>
  <sheetViews>
    <sheetView tabSelected="1" zoomScaleNormal="100" workbookViewId="0">
      <pane ySplit="2" topLeftCell="A3" activePane="bottomLeft" state="frozen"/>
      <selection activeCell="R7" sqref="R7"/>
      <selection pane="bottomLeft" activeCell="A3" sqref="A3"/>
    </sheetView>
  </sheetViews>
  <sheetFormatPr defaultRowHeight="10.5" x14ac:dyDescent="0.15"/>
  <cols>
    <col min="1" max="1" width="25.140625" style="200" bestFit="1" customWidth="1"/>
    <col min="2" max="2" width="24.7109375" style="200" customWidth="1"/>
    <col min="3" max="3" width="4.7109375" style="200" customWidth="1"/>
    <col min="4" max="4" width="26.85546875" style="200" customWidth="1"/>
    <col min="5" max="5" width="20.140625" style="200" hidden="1" customWidth="1"/>
    <col min="6" max="6" width="43" style="200" bestFit="1" customWidth="1"/>
    <col min="7" max="7" width="13.140625" style="200" bestFit="1" customWidth="1"/>
    <col min="8" max="8" width="14.5703125" style="200" bestFit="1" customWidth="1"/>
    <col min="9" max="9" width="7.5703125" style="200" bestFit="1" customWidth="1"/>
    <col min="10" max="10" width="4.7109375" style="200" customWidth="1"/>
    <col min="11" max="11" width="21" style="548" bestFit="1" customWidth="1"/>
    <col min="12" max="12" width="11.85546875" style="200" customWidth="1"/>
    <col min="13" max="17" width="10.7109375" style="200" customWidth="1"/>
    <col min="18" max="18" width="4.7109375" style="200" customWidth="1"/>
    <col min="19" max="19" width="19.28515625" style="200" bestFit="1" customWidth="1"/>
    <col min="20" max="16384" width="9.140625" style="200"/>
  </cols>
  <sheetData>
    <row r="1" spans="1:20" ht="10.5" customHeight="1" x14ac:dyDescent="0.15">
      <c r="K1" s="136" t="s">
        <v>28</v>
      </c>
      <c r="L1" s="99" t="s">
        <v>194</v>
      </c>
      <c r="M1" s="98"/>
      <c r="N1" s="98"/>
      <c r="O1" s="98"/>
      <c r="P1" s="98"/>
      <c r="Q1" s="98"/>
    </row>
    <row r="2" spans="1:20" ht="10.5" customHeight="1" thickBot="1" x14ac:dyDescent="0.2">
      <c r="A2" s="708" t="s">
        <v>307</v>
      </c>
      <c r="B2" s="710"/>
      <c r="D2" s="711" t="s">
        <v>134</v>
      </c>
      <c r="E2" s="712"/>
      <c r="F2" s="712"/>
      <c r="G2" s="712"/>
      <c r="H2" s="712"/>
      <c r="I2" s="713"/>
      <c r="K2" s="99" t="s">
        <v>236</v>
      </c>
      <c r="L2" s="100">
        <v>6</v>
      </c>
      <c r="M2" s="101">
        <v>7</v>
      </c>
      <c r="N2" s="101">
        <v>8</v>
      </c>
      <c r="O2" s="101">
        <v>9</v>
      </c>
      <c r="P2" s="101">
        <v>10</v>
      </c>
      <c r="Q2" s="522">
        <v>15</v>
      </c>
    </row>
    <row r="3" spans="1:20" ht="10.5" customHeight="1" thickTop="1" x14ac:dyDescent="0.15">
      <c r="A3" s="390" t="s">
        <v>599</v>
      </c>
      <c r="B3" s="509"/>
      <c r="D3" s="394" t="s">
        <v>131</v>
      </c>
      <c r="E3" s="395"/>
      <c r="F3" s="395" t="s">
        <v>75</v>
      </c>
      <c r="G3" s="396" t="s">
        <v>308</v>
      </c>
      <c r="H3" s="396" t="s">
        <v>238</v>
      </c>
      <c r="I3" s="397" t="s">
        <v>66</v>
      </c>
      <c r="K3" s="443">
        <v>0</v>
      </c>
      <c r="L3" s="635">
        <v>2630.6094991884165</v>
      </c>
      <c r="M3" s="636">
        <v>0</v>
      </c>
      <c r="N3" s="636">
        <v>0</v>
      </c>
      <c r="O3" s="636">
        <v>0</v>
      </c>
      <c r="P3" s="636">
        <v>0</v>
      </c>
      <c r="Q3" s="637">
        <v>0</v>
      </c>
      <c r="S3" s="200" t="s">
        <v>199</v>
      </c>
      <c r="T3" s="102">
        <v>15</v>
      </c>
    </row>
    <row r="4" spans="1:20" ht="10.5" customHeight="1" x14ac:dyDescent="0.15">
      <c r="A4" s="390"/>
      <c r="B4" s="497"/>
      <c r="D4" s="398" t="s">
        <v>2</v>
      </c>
      <c r="E4" s="192"/>
      <c r="F4" s="197" t="s">
        <v>1116</v>
      </c>
      <c r="G4" s="195">
        <f>VLOOKUP(F4,Components!$A$2:$N$23,12,FALSE)</f>
        <v>325</v>
      </c>
      <c r="H4" s="195">
        <f>VLOOKUP(F4,Components!$A$2:$N$23,13,FALSE)</f>
        <v>298.5</v>
      </c>
      <c r="I4" s="314">
        <v>10</v>
      </c>
      <c r="K4" s="443">
        <v>0.01</v>
      </c>
      <c r="L4" s="638">
        <v>3961.4399588984525</v>
      </c>
      <c r="M4" s="444">
        <v>0</v>
      </c>
      <c r="N4" s="444">
        <v>0</v>
      </c>
      <c r="O4" s="444">
        <v>0</v>
      </c>
      <c r="P4" s="444">
        <v>0</v>
      </c>
      <c r="Q4" s="639">
        <v>0</v>
      </c>
      <c r="S4" s="200" t="s">
        <v>236</v>
      </c>
      <c r="T4" s="555">
        <v>0.2</v>
      </c>
    </row>
    <row r="5" spans="1:20" ht="10.5" customHeight="1" x14ac:dyDescent="0.15">
      <c r="A5" s="390" t="s">
        <v>215</v>
      </c>
      <c r="B5" s="507"/>
      <c r="D5" s="391" t="s">
        <v>3</v>
      </c>
      <c r="E5" s="192" t="str">
        <f>VLOOKUP(B16,Rng_InverterLookupByPhase,3,FALSE)</f>
        <v>Components!A32:A73</v>
      </c>
      <c r="F5" s="197" t="s">
        <v>846</v>
      </c>
      <c r="G5" s="195">
        <f>VLOOKUP(F5,Components!$A$32:$N$103,10,FALSE)</f>
        <v>3000</v>
      </c>
      <c r="H5" s="195" t="str">
        <f>TEXT(VLOOKUP(F5,Components!$A$32:$N$103,11,FALSE),"#,##")&amp;" | "&amp;TEXT(VLOOKUP(F5,Components!$A$32:$N$103,12,FALSE),"#,##")</f>
        <v>2,400 | 3,300</v>
      </c>
      <c r="I5" s="315">
        <v>1</v>
      </c>
      <c r="K5" s="443">
        <v>0.02</v>
      </c>
      <c r="L5" s="638">
        <v>5292.2704186085757</v>
      </c>
      <c r="M5" s="444">
        <v>0</v>
      </c>
      <c r="N5" s="444">
        <v>0</v>
      </c>
      <c r="O5" s="444">
        <v>0</v>
      </c>
      <c r="P5" s="444">
        <v>0</v>
      </c>
      <c r="Q5" s="639">
        <v>0</v>
      </c>
    </row>
    <row r="6" spans="1:20" ht="10.5" customHeight="1" x14ac:dyDescent="0.15">
      <c r="A6" s="390" t="s">
        <v>436</v>
      </c>
      <c r="B6" s="507"/>
      <c r="D6" s="391" t="s">
        <v>4</v>
      </c>
      <c r="E6" s="192"/>
      <c r="F6" s="197" t="s">
        <v>612</v>
      </c>
      <c r="G6" s="195">
        <f>VLOOKUP(F6,Components!$A$25:$N$30,12,FALSE)</f>
        <v>280</v>
      </c>
      <c r="H6" s="195"/>
      <c r="I6" s="315">
        <v>0</v>
      </c>
      <c r="K6" s="443">
        <v>0.03</v>
      </c>
      <c r="L6" s="638">
        <v>6623.1008783186262</v>
      </c>
      <c r="M6" s="444">
        <v>0</v>
      </c>
      <c r="N6" s="444">
        <v>0</v>
      </c>
      <c r="O6" s="444">
        <v>0</v>
      </c>
      <c r="P6" s="444">
        <v>0</v>
      </c>
      <c r="Q6" s="639">
        <v>0</v>
      </c>
    </row>
    <row r="7" spans="1:20" ht="10.5" customHeight="1" x14ac:dyDescent="0.15">
      <c r="A7" s="390" t="s">
        <v>20</v>
      </c>
      <c r="B7" s="508"/>
      <c r="D7" s="391" t="s">
        <v>111</v>
      </c>
      <c r="E7" s="192" t="str">
        <f>IFERROR(VLOOKUP(VLOOKUP(SysSpec_Inverter,Components!$A$32:$B$103,2,FALSE),Components!$B$105:$R$110,17,FALSE),Rng_SysMon_NonMicro)</f>
        <v>Components!A107:A109</v>
      </c>
      <c r="F7" s="197" t="s">
        <v>985</v>
      </c>
      <c r="G7" s="195"/>
      <c r="H7" s="195"/>
      <c r="I7" s="315">
        <v>0</v>
      </c>
      <c r="K7" s="443">
        <v>0.04</v>
      </c>
      <c r="L7" s="638">
        <v>7953.9313380287058</v>
      </c>
      <c r="M7" s="444">
        <v>0</v>
      </c>
      <c r="N7" s="444">
        <v>0</v>
      </c>
      <c r="O7" s="444">
        <v>0</v>
      </c>
      <c r="P7" s="444">
        <v>0</v>
      </c>
      <c r="Q7" s="639">
        <v>0</v>
      </c>
    </row>
    <row r="8" spans="1:20" ht="10.5" customHeight="1" x14ac:dyDescent="0.15">
      <c r="A8" s="440" t="s">
        <v>21</v>
      </c>
      <c r="B8" s="508"/>
      <c r="D8" s="391" t="s">
        <v>5</v>
      </c>
      <c r="E8" s="192"/>
      <c r="F8" s="198" t="s">
        <v>169</v>
      </c>
      <c r="G8" s="195"/>
      <c r="H8" s="195"/>
      <c r="I8" s="194">
        <v>0</v>
      </c>
      <c r="K8" s="443">
        <v>0.05</v>
      </c>
      <c r="L8" s="638">
        <v>9284.7617977387272</v>
      </c>
      <c r="M8" s="444">
        <v>0</v>
      </c>
      <c r="N8" s="444">
        <v>0</v>
      </c>
      <c r="O8" s="444">
        <v>0</v>
      </c>
      <c r="P8" s="444">
        <v>0</v>
      </c>
      <c r="Q8" s="639">
        <v>0</v>
      </c>
    </row>
    <row r="9" spans="1:20" ht="10.5" customHeight="1" x14ac:dyDescent="0.15">
      <c r="A9" s="440" t="s">
        <v>135</v>
      </c>
      <c r="B9" s="508"/>
      <c r="D9" s="393" t="s">
        <v>216</v>
      </c>
      <c r="E9" s="193"/>
      <c r="F9" s="105" t="s">
        <v>782</v>
      </c>
      <c r="G9" s="196"/>
      <c r="H9" s="196"/>
      <c r="I9" s="316">
        <v>0</v>
      </c>
      <c r="K9" s="443">
        <v>0.06</v>
      </c>
      <c r="L9" s="638">
        <v>10615.59225744888</v>
      </c>
      <c r="M9" s="444">
        <v>0</v>
      </c>
      <c r="N9" s="444">
        <v>0</v>
      </c>
      <c r="O9" s="444">
        <v>0</v>
      </c>
      <c r="P9" s="444">
        <v>0</v>
      </c>
      <c r="Q9" s="639">
        <v>0</v>
      </c>
    </row>
    <row r="10" spans="1:20" ht="10.5" customHeight="1" x14ac:dyDescent="0.15">
      <c r="A10" s="390" t="s">
        <v>22</v>
      </c>
      <c r="B10" s="508"/>
      <c r="G10" s="624"/>
      <c r="K10" s="443">
        <v>7.0000000000000007E-2</v>
      </c>
      <c r="L10" s="638">
        <v>11946.422717158915</v>
      </c>
      <c r="M10" s="444">
        <v>0</v>
      </c>
      <c r="N10" s="444">
        <v>0</v>
      </c>
      <c r="O10" s="444">
        <v>0</v>
      </c>
      <c r="P10" s="444">
        <v>0</v>
      </c>
      <c r="Q10" s="639">
        <v>0</v>
      </c>
    </row>
    <row r="11" spans="1:20" ht="10.5" customHeight="1" x14ac:dyDescent="0.15">
      <c r="A11" s="390" t="s">
        <v>957</v>
      </c>
      <c r="B11" s="508"/>
      <c r="G11" s="624" t="s">
        <v>1093</v>
      </c>
      <c r="K11" s="443">
        <v>0.08</v>
      </c>
      <c r="L11" s="638">
        <v>13277.253176869039</v>
      </c>
      <c r="M11" s="444">
        <v>0</v>
      </c>
      <c r="N11" s="444">
        <v>0</v>
      </c>
      <c r="O11" s="444">
        <v>0</v>
      </c>
      <c r="P11" s="444">
        <v>0</v>
      </c>
      <c r="Q11" s="639">
        <v>0</v>
      </c>
    </row>
    <row r="12" spans="1:20" ht="10.5" customHeight="1" x14ac:dyDescent="0.15">
      <c r="A12" s="390" t="s">
        <v>23</v>
      </c>
      <c r="B12" s="508"/>
      <c r="D12" s="200" t="s">
        <v>196</v>
      </c>
      <c r="F12" s="625">
        <v>3.1</v>
      </c>
      <c r="G12" s="106">
        <v>3.1</v>
      </c>
      <c r="H12" s="106"/>
      <c r="I12" s="198"/>
      <c r="K12" s="443">
        <v>0.09</v>
      </c>
      <c r="L12" s="638">
        <v>14608.083636579046</v>
      </c>
      <c r="M12" s="444">
        <v>1477.2538303274487</v>
      </c>
      <c r="N12" s="444">
        <v>0</v>
      </c>
      <c r="O12" s="444">
        <v>0</v>
      </c>
      <c r="P12" s="444">
        <v>0</v>
      </c>
      <c r="Q12" s="639">
        <v>0</v>
      </c>
    </row>
    <row r="13" spans="1:20" ht="10.5" customHeight="1" x14ac:dyDescent="0.15">
      <c r="A13" s="390" t="s">
        <v>24</v>
      </c>
      <c r="B13" s="455" t="s">
        <v>634</v>
      </c>
      <c r="D13" s="200" t="s">
        <v>197</v>
      </c>
      <c r="F13" s="625">
        <v>2.6</v>
      </c>
      <c r="G13" s="106">
        <v>2.6</v>
      </c>
      <c r="H13" s="106"/>
      <c r="I13" s="198"/>
      <c r="K13" s="443">
        <v>0.1</v>
      </c>
      <c r="L13" s="638">
        <v>15938.914096289081</v>
      </c>
      <c r="M13" s="444">
        <v>2958.9629310564924</v>
      </c>
      <c r="N13" s="444">
        <v>0</v>
      </c>
      <c r="O13" s="444">
        <v>0</v>
      </c>
      <c r="P13" s="444">
        <v>0</v>
      </c>
      <c r="Q13" s="639">
        <v>0</v>
      </c>
    </row>
    <row r="14" spans="1:20" ht="10.5" customHeight="1" x14ac:dyDescent="0.15">
      <c r="A14" s="390" t="s">
        <v>25</v>
      </c>
      <c r="B14" s="507"/>
      <c r="D14" s="200" t="s">
        <v>198</v>
      </c>
      <c r="F14" s="625">
        <v>1.47</v>
      </c>
      <c r="G14" s="106">
        <v>1.47</v>
      </c>
      <c r="H14" s="106"/>
      <c r="I14" s="198"/>
      <c r="K14" s="443">
        <v>0.11</v>
      </c>
      <c r="L14" s="638">
        <v>17269.744555999234</v>
      </c>
      <c r="M14" s="444">
        <v>4440.6720317857107</v>
      </c>
      <c r="N14" s="444">
        <v>0</v>
      </c>
      <c r="O14" s="444">
        <v>0</v>
      </c>
      <c r="P14" s="444">
        <v>0</v>
      </c>
      <c r="Q14" s="639">
        <v>0</v>
      </c>
    </row>
    <row r="15" spans="1:20" ht="10.5" customHeight="1" x14ac:dyDescent="0.15">
      <c r="A15" s="391"/>
      <c r="B15" s="457"/>
      <c r="D15" s="200" t="s">
        <v>593</v>
      </c>
      <c r="F15" s="106">
        <f>Unit_Internal!C37</f>
        <v>13.33084923076923</v>
      </c>
      <c r="K15" s="443">
        <v>0.12</v>
      </c>
      <c r="L15" s="638">
        <v>18600.575015709284</v>
      </c>
      <c r="M15" s="444">
        <v>5922.3811325148272</v>
      </c>
      <c r="N15" s="444">
        <v>0</v>
      </c>
      <c r="O15" s="444">
        <v>0</v>
      </c>
      <c r="P15" s="444">
        <v>0</v>
      </c>
      <c r="Q15" s="639">
        <v>0</v>
      </c>
    </row>
    <row r="16" spans="1:20" ht="10.5" customHeight="1" x14ac:dyDescent="0.15">
      <c r="A16" s="391" t="s">
        <v>237</v>
      </c>
      <c r="B16" s="455">
        <v>1</v>
      </c>
      <c r="D16" s="200" t="s">
        <v>600</v>
      </c>
      <c r="F16" s="106">
        <f>Unit_Internal!C48</f>
        <v>30.915280639999995</v>
      </c>
      <c r="G16" s="399"/>
      <c r="K16" s="443">
        <v>0.13</v>
      </c>
      <c r="L16" s="638">
        <v>19931.405475419364</v>
      </c>
      <c r="M16" s="444">
        <v>7404.0902332439582</v>
      </c>
      <c r="N16" s="444">
        <v>0</v>
      </c>
      <c r="O16" s="444">
        <v>0</v>
      </c>
      <c r="P16" s="444">
        <v>0</v>
      </c>
      <c r="Q16" s="639">
        <v>0</v>
      </c>
    </row>
    <row r="17" spans="1:17" ht="10.5" customHeight="1" x14ac:dyDescent="0.15">
      <c r="A17" s="391" t="s">
        <v>166</v>
      </c>
      <c r="B17" s="455" t="s">
        <v>114</v>
      </c>
      <c r="K17" s="443">
        <v>0.14000000000000001</v>
      </c>
      <c r="L17" s="638">
        <v>21262.235935129473</v>
      </c>
      <c r="M17" s="444">
        <v>8885.7993339731038</v>
      </c>
      <c r="N17" s="444">
        <v>0</v>
      </c>
      <c r="O17" s="444">
        <v>0</v>
      </c>
      <c r="P17" s="444">
        <v>0</v>
      </c>
      <c r="Q17" s="639">
        <v>0</v>
      </c>
    </row>
    <row r="18" spans="1:17" ht="10.5" customHeight="1" x14ac:dyDescent="0.15">
      <c r="A18" s="391" t="s">
        <v>239</v>
      </c>
      <c r="B18" s="506">
        <v>1</v>
      </c>
      <c r="D18" s="400" t="s">
        <v>158</v>
      </c>
      <c r="E18" s="400"/>
      <c r="F18" s="133">
        <f>Sys_NumPanels*Panel_STC</f>
        <v>3250</v>
      </c>
      <c r="G18" s="133"/>
      <c r="H18" s="133"/>
      <c r="K18" s="443">
        <v>0.15</v>
      </c>
      <c r="L18" s="638">
        <v>22593.066394839523</v>
      </c>
      <c r="M18" s="444">
        <v>10367.508434702206</v>
      </c>
      <c r="N18" s="444">
        <v>0</v>
      </c>
      <c r="O18" s="444">
        <v>0</v>
      </c>
      <c r="P18" s="444">
        <v>0</v>
      </c>
      <c r="Q18" s="639">
        <v>0</v>
      </c>
    </row>
    <row r="19" spans="1:17" ht="10.5" customHeight="1" x14ac:dyDescent="0.15">
      <c r="A19" s="391" t="s">
        <v>962</v>
      </c>
      <c r="B19" s="518" t="str">
        <f>VLOOKUP(Cust_State,ListData!$B$39:$D$70,3,FALSE)</f>
        <v>Central</v>
      </c>
      <c r="D19" s="192" t="s">
        <v>218</v>
      </c>
      <c r="E19" s="192"/>
      <c r="F19" s="134">
        <f>Sys_kWhPerYear</f>
        <v>5738.0070962362506</v>
      </c>
      <c r="G19" s="134"/>
      <c r="H19" s="134"/>
      <c r="K19" s="443">
        <v>0.16</v>
      </c>
      <c r="L19" s="638">
        <v>23923.896854549574</v>
      </c>
      <c r="M19" s="444">
        <v>11849.217535431308</v>
      </c>
      <c r="N19" s="444">
        <v>985.85225214256207</v>
      </c>
      <c r="O19" s="444">
        <v>0</v>
      </c>
      <c r="P19" s="444">
        <v>0</v>
      </c>
      <c r="Q19" s="639">
        <v>0</v>
      </c>
    </row>
    <row r="20" spans="1:17" ht="10.5" customHeight="1" x14ac:dyDescent="0.15">
      <c r="A20" s="104" t="s">
        <v>241</v>
      </c>
      <c r="B20" s="455" t="s">
        <v>965</v>
      </c>
      <c r="D20" s="192" t="s">
        <v>157</v>
      </c>
      <c r="E20" s="192"/>
      <c r="F20" s="134">
        <f>Sys_Factor</f>
        <v>1765.5406449957693</v>
      </c>
      <c r="G20" s="134"/>
      <c r="H20" s="134"/>
      <c r="K20" s="443">
        <v>0.17</v>
      </c>
      <c r="L20" s="638">
        <v>25254.727314259697</v>
      </c>
      <c r="M20" s="444">
        <v>13330.926636160497</v>
      </c>
      <c r="N20" s="444">
        <v>2603.3339885801397</v>
      </c>
      <c r="O20" s="444">
        <v>0</v>
      </c>
      <c r="P20" s="444">
        <v>0</v>
      </c>
      <c r="Q20" s="639">
        <v>0</v>
      </c>
    </row>
    <row r="21" spans="1:17" ht="10.5" customHeight="1" x14ac:dyDescent="0.15">
      <c r="A21" s="104" t="s">
        <v>964</v>
      </c>
      <c r="B21" s="458">
        <f>IF(CFE_RateCategory="DAC",INDEX(CFE_History_DAC!$A$4:$O$37,MATCH(VLOOKUP(CFE_Region,ListData!$B$2:$C$8,2,FALSE),CFE_History_DAC!$A$4:$A$37,0)+1,MATCH(CFE_RatePeriod,CFE_History_DAC!$A$3:$O$3,0)),IF(CFE_RateCategory="Tarifa 2",INDEX(CFE_History_Tarifa2!$B$4:$P$9,6,MATCH(CFE_RatePeriod,CFE_History_Tarifa2!$B$3:$P$3,0)),"NaN"))</f>
        <v>97.25833333333334</v>
      </c>
      <c r="D21" s="192" t="s">
        <v>217</v>
      </c>
      <c r="E21" s="192"/>
      <c r="F21" s="135">
        <f>IFERROR(Sys_kWhPerYear/CustUsage_kWhPerYear,0)</f>
        <v>0.95633451603937514</v>
      </c>
      <c r="G21" s="135"/>
      <c r="H21" s="135"/>
      <c r="K21" s="443">
        <v>0.18</v>
      </c>
      <c r="L21" s="638">
        <v>26585.557773969747</v>
      </c>
      <c r="M21" s="444">
        <v>14812.63573688957</v>
      </c>
      <c r="N21" s="444">
        <v>4220.8157250176009</v>
      </c>
      <c r="O21" s="444">
        <v>0</v>
      </c>
      <c r="P21" s="444">
        <v>0</v>
      </c>
      <c r="Q21" s="639">
        <v>0</v>
      </c>
    </row>
    <row r="22" spans="1:17" ht="10.5" customHeight="1" x14ac:dyDescent="0.15">
      <c r="A22" s="391" t="s">
        <v>963</v>
      </c>
      <c r="B22" s="458">
        <f>IF(CFE_RateCategory="DAC",INDEX(CFE_History_DAC!$A$4:$O$37,MATCH(VLOOKUP(CFE_Region,ListData!$B$2:$C$8,2,FALSE),CFE_History_DAC!$A$4:$A$37,0)+2,MATCH(CFE_RatePeriod,CFE_History_DAC!$A$3:$O$3,0)),IF(CFE_RateCategory="Tarifa 2",IF(ISNUMBER(CustUsage_kWhPerYear),(MIN(CustUsage_kWhPerYear,50*12)*INDEX(CFE_History_Tarifa2!$B$4:$P$9,2,MATCH(CFE_RatePeriod,CFE_History_Tarifa2!$B$3:$P$3,0))+MAX(0,MIN(CustUsage_kWhPerYear-50*12,50*12))*INDEX(CFE_History_Tarifa2!$B$4:$P$9,3,MATCH(CFE_RatePeriod,CFE_History_Tarifa2!$B$3:$P$3,0))+MAX(CustUsage_kWhPerYear-100*12,0)*INDEX(CFE_History_Tarifa2!$B$4:$P$9,4,MATCH(CFE_RatePeriod,CFE_History_Tarifa2!$B$3:$P$3,0)))/CustUsage_kWhPerYear,INDEX(CFE_History_Tarifa2!$B$4:$P$9,4,MATCH(CFE_RatePeriod,CFE_History_Tarifa2!$B$3:$P$3,0))),"NaN"))</f>
        <v>4.2670833333333329</v>
      </c>
      <c r="D22" s="192" t="s">
        <v>1016</v>
      </c>
      <c r="E22" s="192"/>
      <c r="F22" s="134">
        <f>Savings!AB6/12</f>
        <v>2082.8194316161321</v>
      </c>
      <c r="G22" s="135"/>
      <c r="H22" s="135"/>
      <c r="K22" s="443">
        <v>0.19</v>
      </c>
      <c r="L22" s="638">
        <v>27916.388233679754</v>
      </c>
      <c r="M22" s="444">
        <v>16294.344837618642</v>
      </c>
      <c r="N22" s="444">
        <v>5838.297461455033</v>
      </c>
      <c r="O22" s="444">
        <v>0</v>
      </c>
      <c r="P22" s="444">
        <v>0</v>
      </c>
      <c r="Q22" s="639">
        <v>0</v>
      </c>
    </row>
    <row r="23" spans="1:17" ht="10.5" customHeight="1" x14ac:dyDescent="0.15">
      <c r="A23" s="391" t="s">
        <v>13</v>
      </c>
      <c r="B23" s="451">
        <v>0.1</v>
      </c>
      <c r="K23" s="443">
        <v>0.2</v>
      </c>
      <c r="L23" s="638">
        <v>29247.218693389834</v>
      </c>
      <c r="M23" s="444">
        <v>17776.053938347759</v>
      </c>
      <c r="N23" s="444">
        <v>7455.7791978925525</v>
      </c>
      <c r="O23" s="444">
        <v>0</v>
      </c>
      <c r="P23" s="444">
        <v>0</v>
      </c>
      <c r="Q23" s="639">
        <v>0</v>
      </c>
    </row>
    <row r="24" spans="1:17" ht="10.5" customHeight="1" x14ac:dyDescent="0.15">
      <c r="A24" s="391"/>
      <c r="B24" s="457"/>
      <c r="D24" s="192" t="str">
        <f>IF(OR(AND(VLOOKUP(F5,Components!$A$1:$N$117,8,FALSE)&gt;2,B16&lt;=2),AND(VLOOKUP(F5,Components!$A$1:$N$117,8,FALSE)&lt;=2,B16&gt;2)),"Inverter phases does not match CFE Hilos",IF(SysSpec_Inverters_Units*VLOOKUP(F5,Components!$A$1:$N$117,12,FALSE)&lt;$F$18,"Inverter Wp rating too low for System Size",IF(SysSpec_Inverters_Units*VLOOKUP(F5,Components!$A$1:$N$117,11,FALSE)&gt;$F$18,"Inverter Wp rating too high for System Size","")))</f>
        <v/>
      </c>
      <c r="E24" s="192"/>
      <c r="G24" s="192"/>
      <c r="H24" s="192"/>
      <c r="K24" s="443">
        <v>0.21</v>
      </c>
      <c r="L24" s="638">
        <v>30578.049153099972</v>
      </c>
      <c r="M24" s="444">
        <v>19257.763039076948</v>
      </c>
      <c r="N24" s="444">
        <v>9073.260934330101</v>
      </c>
      <c r="O24" s="444">
        <v>0</v>
      </c>
      <c r="P24" s="444">
        <v>0</v>
      </c>
      <c r="Q24" s="639">
        <v>0</v>
      </c>
    </row>
    <row r="25" spans="1:17" ht="10.5" customHeight="1" x14ac:dyDescent="0.15">
      <c r="A25" s="391" t="s">
        <v>868</v>
      </c>
      <c r="B25" s="455" t="s">
        <v>991</v>
      </c>
      <c r="D25" s="200" t="str">
        <f>IFERROR(IF(F21&gt;1.05,"System Production is greater than Customer Usage.  Either reduce system size or increase Customer Usage",""),"Error")</f>
        <v/>
      </c>
      <c r="K25" s="443">
        <v>0.22</v>
      </c>
      <c r="L25" s="638">
        <v>31908.879612809993</v>
      </c>
      <c r="M25" s="444">
        <v>20739.472139806021</v>
      </c>
      <c r="N25" s="444">
        <v>10690.742670767562</v>
      </c>
      <c r="O25" s="444">
        <v>1649.0702266049339</v>
      </c>
      <c r="P25" s="444">
        <v>0</v>
      </c>
      <c r="Q25" s="639">
        <v>0</v>
      </c>
    </row>
    <row r="26" spans="1:17" ht="10.5" customHeight="1" x14ac:dyDescent="0.15">
      <c r="A26" s="391" t="s">
        <v>870</v>
      </c>
      <c r="B26" s="455">
        <v>180</v>
      </c>
      <c r="K26" s="443">
        <v>0.23</v>
      </c>
      <c r="L26" s="638">
        <v>33239.710072520043</v>
      </c>
      <c r="M26" s="444">
        <v>22221.181240535108</v>
      </c>
      <c r="N26" s="444">
        <v>12308.224407205023</v>
      </c>
      <c r="O26" s="444">
        <v>3388.7473351799272</v>
      </c>
      <c r="P26" s="444">
        <v>0</v>
      </c>
      <c r="Q26" s="639">
        <v>0</v>
      </c>
    </row>
    <row r="27" spans="1:17" ht="10.5" customHeight="1" thickBot="1" x14ac:dyDescent="0.2">
      <c r="A27" s="391" t="s">
        <v>997</v>
      </c>
      <c r="B27" s="503" t="s">
        <v>993</v>
      </c>
      <c r="C27" s="401"/>
      <c r="D27" s="708" t="s">
        <v>968</v>
      </c>
      <c r="E27" s="709"/>
      <c r="F27" s="710"/>
      <c r="K27" s="443">
        <v>0.24</v>
      </c>
      <c r="L27" s="638">
        <v>34570.540532230196</v>
      </c>
      <c r="M27" s="444">
        <v>23702.890341264356</v>
      </c>
      <c r="N27" s="444">
        <v>13925.70614364263</v>
      </c>
      <c r="O27" s="444">
        <v>5128.4244437550951</v>
      </c>
      <c r="P27" s="444">
        <v>0</v>
      </c>
      <c r="Q27" s="639">
        <v>0</v>
      </c>
    </row>
    <row r="28" spans="1:17" ht="10.5" customHeight="1" thickTop="1" x14ac:dyDescent="0.15">
      <c r="A28" s="391" t="s">
        <v>996</v>
      </c>
      <c r="B28" s="517">
        <f>IFERROR(VLOOKUP(Sys_SunHoursCity&amp;"_"&amp;Sys_Tilt&amp;"_"&amp;Sys_Azimuth,Rng_IrradianceData,3,FALSE),"N/A")</f>
        <v>21</v>
      </c>
      <c r="C28" s="401"/>
      <c r="D28" s="449" t="s">
        <v>592</v>
      </c>
      <c r="E28" s="192"/>
      <c r="F28" s="455" t="s">
        <v>28</v>
      </c>
      <c r="K28" s="443">
        <v>0.25</v>
      </c>
      <c r="L28" s="638">
        <v>35901.370991940232</v>
      </c>
      <c r="M28" s="444">
        <v>25184.599441993429</v>
      </c>
      <c r="N28" s="444">
        <v>15543.187880080106</v>
      </c>
      <c r="O28" s="444">
        <v>6868.101552330103</v>
      </c>
      <c r="P28" s="444">
        <v>0</v>
      </c>
      <c r="Q28" s="639">
        <v>0</v>
      </c>
    </row>
    <row r="29" spans="1:17" ht="10.5" customHeight="1" x14ac:dyDescent="0.15">
      <c r="A29" s="391" t="s">
        <v>141</v>
      </c>
      <c r="B29" s="653">
        <f>VLOOKUP(Sys_SunHoursCity&amp;"_"&amp;Sys_Tilt&amp;"_"&amp;Sys_Azimuth,Rng_IrradianceData,17,FALSE)</f>
        <v>6.1975000000000007</v>
      </c>
      <c r="C29" s="401"/>
      <c r="D29" s="521" t="s">
        <v>28</v>
      </c>
      <c r="E29" s="450"/>
      <c r="F29" s="520">
        <v>0</v>
      </c>
      <c r="K29" s="443">
        <v>0.26</v>
      </c>
      <c r="L29" s="638">
        <v>37232.201451650268</v>
      </c>
      <c r="M29" s="444">
        <v>26666.308542722516</v>
      </c>
      <c r="N29" s="444">
        <v>17160.669616517582</v>
      </c>
      <c r="O29" s="444">
        <v>8607.7786609051109</v>
      </c>
      <c r="P29" s="444">
        <v>912.15715392497077</v>
      </c>
      <c r="Q29" s="639">
        <v>0</v>
      </c>
    </row>
    <row r="30" spans="1:17" ht="10.5" customHeight="1" x14ac:dyDescent="0.15">
      <c r="A30" s="391" t="s">
        <v>143</v>
      </c>
      <c r="B30" s="451">
        <v>0.12</v>
      </c>
      <c r="D30" s="391"/>
      <c r="E30" s="192"/>
      <c r="F30" s="194"/>
      <c r="K30" s="443">
        <v>0.27</v>
      </c>
      <c r="L30" s="638">
        <v>38563.031911360347</v>
      </c>
      <c r="M30" s="444">
        <v>28148.017643451618</v>
      </c>
      <c r="N30" s="444">
        <v>18778.151352955028</v>
      </c>
      <c r="O30" s="444">
        <v>10347.455769480119</v>
      </c>
      <c r="P30" s="444">
        <v>2761.8100974237313</v>
      </c>
      <c r="Q30" s="639">
        <v>0</v>
      </c>
    </row>
    <row r="31" spans="1:17" ht="10.5" customHeight="1" x14ac:dyDescent="0.15">
      <c r="A31" s="392"/>
      <c r="B31" s="498"/>
      <c r="D31" s="391" t="s">
        <v>959</v>
      </c>
      <c r="E31" s="192"/>
      <c r="F31" s="451">
        <v>0</v>
      </c>
      <c r="K31" s="443">
        <v>0.28000000000000003</v>
      </c>
      <c r="L31" s="638">
        <v>39893.862371070456</v>
      </c>
      <c r="M31" s="444">
        <v>29629.726744180807</v>
      </c>
      <c r="N31" s="444">
        <v>20395.633089392621</v>
      </c>
      <c r="O31" s="444">
        <v>12087.132878055199</v>
      </c>
      <c r="P31" s="444">
        <v>4611.4630409226083</v>
      </c>
      <c r="Q31" s="639">
        <v>0</v>
      </c>
    </row>
    <row r="32" spans="1:17" ht="10.5" customHeight="1" x14ac:dyDescent="0.15">
      <c r="A32" s="452" t="s">
        <v>152</v>
      </c>
      <c r="B32" s="656">
        <f>IF(COUNTBLANK(Rng_MonthlyUsage)&gt;0,"Populate All Monthly Data ",IFERROR((SUM(Rng_MonthlyUsage)/COUNT(Rng_MonthlyUsage))*12,0))</f>
        <v>6000</v>
      </c>
      <c r="D32" s="391" t="s">
        <v>960</v>
      </c>
      <c r="E32" s="192"/>
      <c r="F32" s="451">
        <v>0.4</v>
      </c>
      <c r="K32" s="443">
        <v>0.28999999999999998</v>
      </c>
      <c r="L32" s="638">
        <v>41224.692830780536</v>
      </c>
      <c r="M32" s="444">
        <v>31111.435844909924</v>
      </c>
      <c r="N32" s="444">
        <v>22013.114825830096</v>
      </c>
      <c r="O32" s="444">
        <v>13826.809986630251</v>
      </c>
      <c r="P32" s="444">
        <v>6461.1159844214562</v>
      </c>
      <c r="Q32" s="639">
        <v>0</v>
      </c>
    </row>
    <row r="33" spans="1:17" ht="10.5" customHeight="1" x14ac:dyDescent="0.15">
      <c r="D33" s="452" t="s">
        <v>961</v>
      </c>
      <c r="E33" s="453"/>
      <c r="F33" s="454">
        <v>0.01</v>
      </c>
      <c r="K33" s="443">
        <v>0.3</v>
      </c>
      <c r="L33" s="638">
        <v>42555.523290490615</v>
      </c>
      <c r="M33" s="444">
        <v>32593.144945639055</v>
      </c>
      <c r="N33" s="444">
        <v>23630.59656226763</v>
      </c>
      <c r="O33" s="444">
        <v>15566.487095205302</v>
      </c>
      <c r="P33" s="444">
        <v>8310.768927920275</v>
      </c>
      <c r="Q33" s="639">
        <v>0</v>
      </c>
    </row>
    <row r="34" spans="1:17" ht="10.5" customHeight="1" x14ac:dyDescent="0.15">
      <c r="A34" s="714" t="s">
        <v>795</v>
      </c>
      <c r="B34" s="715"/>
      <c r="K34" s="443">
        <v>0.31</v>
      </c>
      <c r="L34" s="638">
        <v>43886.353750200666</v>
      </c>
      <c r="M34" s="444">
        <v>34074.854046368142</v>
      </c>
      <c r="N34" s="444">
        <v>25248.078298705062</v>
      </c>
      <c r="O34" s="444">
        <v>17306.164203780296</v>
      </c>
      <c r="P34" s="444">
        <v>10160.421871419065</v>
      </c>
      <c r="Q34" s="639">
        <v>0</v>
      </c>
    </row>
    <row r="35" spans="1:17" ht="10.5" customHeight="1" x14ac:dyDescent="0.15">
      <c r="A35" s="402" t="s">
        <v>299</v>
      </c>
      <c r="B35" s="402" t="s">
        <v>976</v>
      </c>
      <c r="K35" s="443">
        <v>0.32</v>
      </c>
      <c r="L35" s="638">
        <v>45217.184209910731</v>
      </c>
      <c r="M35" s="444">
        <v>35556.563147097258</v>
      </c>
      <c r="N35" s="444">
        <v>26865.560035142567</v>
      </c>
      <c r="O35" s="444">
        <v>19045.841312355347</v>
      </c>
      <c r="P35" s="444">
        <v>12010.074814917883</v>
      </c>
      <c r="Q35" s="639">
        <v>0</v>
      </c>
    </row>
    <row r="36" spans="1:17" ht="10.5" customHeight="1" x14ac:dyDescent="0.15">
      <c r="A36" s="403" t="s">
        <v>783</v>
      </c>
      <c r="B36" s="654">
        <v>500</v>
      </c>
      <c r="K36" s="443">
        <v>0.33</v>
      </c>
      <c r="L36" s="638">
        <v>46548.014669620796</v>
      </c>
      <c r="M36" s="444">
        <v>37038.272247826375</v>
      </c>
      <c r="N36" s="444">
        <v>28483.041771580072</v>
      </c>
      <c r="O36" s="444">
        <v>20785.518420930355</v>
      </c>
      <c r="P36" s="444">
        <v>13859.727758416688</v>
      </c>
      <c r="Q36" s="639">
        <v>0</v>
      </c>
    </row>
    <row r="37" spans="1:17" ht="10.5" customHeight="1" x14ac:dyDescent="0.15">
      <c r="A37" s="403" t="s">
        <v>784</v>
      </c>
      <c r="B37" s="654">
        <v>500</v>
      </c>
      <c r="K37" s="443">
        <v>0.34</v>
      </c>
      <c r="L37" s="638">
        <v>47878.845129330904</v>
      </c>
      <c r="M37" s="444">
        <v>38519.981348555521</v>
      </c>
      <c r="N37" s="444">
        <v>30100.523508017592</v>
      </c>
      <c r="O37" s="444">
        <v>22525.195529505421</v>
      </c>
      <c r="P37" s="444">
        <v>15709.38070191555</v>
      </c>
      <c r="Q37" s="639">
        <v>0</v>
      </c>
    </row>
    <row r="38" spans="1:17" ht="10.5" customHeight="1" x14ac:dyDescent="0.15">
      <c r="A38" s="403" t="s">
        <v>785</v>
      </c>
      <c r="B38" s="654">
        <v>500</v>
      </c>
      <c r="K38" s="443">
        <v>0.35000000000000003</v>
      </c>
      <c r="L38" s="638">
        <v>49209.675589040969</v>
      </c>
      <c r="M38" s="444">
        <v>40001.690449284652</v>
      </c>
      <c r="N38" s="444">
        <v>31718.005244455067</v>
      </c>
      <c r="O38" s="444">
        <v>24264.872638080473</v>
      </c>
      <c r="P38" s="444">
        <v>17559.033645414354</v>
      </c>
      <c r="Q38" s="639">
        <v>0</v>
      </c>
    </row>
    <row r="39" spans="1:17" ht="10.5" customHeight="1" x14ac:dyDescent="0.15">
      <c r="A39" s="403" t="s">
        <v>786</v>
      </c>
      <c r="B39" s="654">
        <v>500</v>
      </c>
      <c r="K39" s="443">
        <v>0.36</v>
      </c>
      <c r="L39" s="638">
        <v>50540.506048751035</v>
      </c>
      <c r="M39" s="444">
        <v>41483.399550013753</v>
      </c>
      <c r="N39" s="444">
        <v>33335.486980892587</v>
      </c>
      <c r="O39" s="444">
        <v>26004.549746655524</v>
      </c>
      <c r="P39" s="444">
        <v>19408.686588913231</v>
      </c>
      <c r="Q39" s="639">
        <v>0</v>
      </c>
    </row>
    <row r="40" spans="1:17" ht="10.5" customHeight="1" x14ac:dyDescent="0.15">
      <c r="A40" s="403" t="s">
        <v>787</v>
      </c>
      <c r="B40" s="654">
        <v>500</v>
      </c>
      <c r="K40" s="443">
        <v>0.37</v>
      </c>
      <c r="L40" s="638">
        <v>51871.336508461129</v>
      </c>
      <c r="M40" s="444">
        <v>42965.108650742928</v>
      </c>
      <c r="N40" s="444">
        <v>34952.968717330135</v>
      </c>
      <c r="O40" s="444">
        <v>27744.226855230605</v>
      </c>
      <c r="P40" s="444">
        <v>21258.339532412094</v>
      </c>
      <c r="Q40" s="639">
        <v>2149.6569300471456</v>
      </c>
    </row>
    <row r="41" spans="1:17" ht="10.5" customHeight="1" x14ac:dyDescent="0.15">
      <c r="A41" s="403" t="s">
        <v>788</v>
      </c>
      <c r="B41" s="654">
        <v>500</v>
      </c>
      <c r="K41" s="443">
        <v>0.38</v>
      </c>
      <c r="L41" s="638">
        <v>53202.166968171194</v>
      </c>
      <c r="M41" s="444">
        <v>44446.817751472016</v>
      </c>
      <c r="N41" s="444">
        <v>36570.450453767626</v>
      </c>
      <c r="O41" s="444">
        <v>29483.903963805642</v>
      </c>
      <c r="P41" s="444">
        <v>23107.992475910913</v>
      </c>
      <c r="Q41" s="639">
        <v>4404.4775760079356</v>
      </c>
    </row>
    <row r="42" spans="1:17" ht="10.5" customHeight="1" x14ac:dyDescent="0.15">
      <c r="A42" s="403" t="s">
        <v>789</v>
      </c>
      <c r="B42" s="654">
        <v>500</v>
      </c>
      <c r="K42" s="443">
        <v>0.39</v>
      </c>
      <c r="L42" s="638">
        <v>54532.997427881244</v>
      </c>
      <c r="M42" s="444">
        <v>45928.526852201132</v>
      </c>
      <c r="N42" s="444">
        <v>38187.932190205058</v>
      </c>
      <c r="O42" s="444">
        <v>31223.581072380621</v>
      </c>
      <c r="P42" s="444">
        <v>24957.645419409673</v>
      </c>
      <c r="Q42" s="639">
        <v>6659.2982219687692</v>
      </c>
    </row>
    <row r="43" spans="1:17" x14ac:dyDescent="0.15">
      <c r="A43" s="403" t="s">
        <v>790</v>
      </c>
      <c r="B43" s="654">
        <v>500</v>
      </c>
      <c r="K43" s="443">
        <v>0.4</v>
      </c>
      <c r="L43" s="640">
        <v>55863.827887591338</v>
      </c>
      <c r="M43" s="641">
        <v>47410.235952930263</v>
      </c>
      <c r="N43" s="641">
        <v>39805.413926642577</v>
      </c>
      <c r="O43" s="641">
        <v>32963.258180955672</v>
      </c>
      <c r="P43" s="641">
        <v>26807.298362908492</v>
      </c>
      <c r="Q43" s="642">
        <v>8914.1188679296029</v>
      </c>
    </row>
    <row r="44" spans="1:17" x14ac:dyDescent="0.15">
      <c r="A44" s="403" t="s">
        <v>791</v>
      </c>
      <c r="B44" s="654">
        <v>500</v>
      </c>
      <c r="K44" s="443"/>
      <c r="L44" s="444"/>
      <c r="M44" s="444"/>
      <c r="N44" s="444"/>
      <c r="O44" s="444"/>
      <c r="P44" s="444"/>
      <c r="Q44" s="444"/>
    </row>
    <row r="45" spans="1:17" x14ac:dyDescent="0.15">
      <c r="A45" s="403" t="s">
        <v>792</v>
      </c>
      <c r="B45" s="654">
        <v>500</v>
      </c>
      <c r="K45" s="443"/>
      <c r="L45" s="444"/>
      <c r="M45" s="444"/>
      <c r="N45" s="444"/>
      <c r="O45" s="444"/>
      <c r="P45" s="444"/>
      <c r="Q45" s="444"/>
    </row>
    <row r="46" spans="1:17" x14ac:dyDescent="0.15">
      <c r="A46" s="403" t="s">
        <v>793</v>
      </c>
      <c r="B46" s="654">
        <v>500</v>
      </c>
      <c r="K46" s="443"/>
      <c r="L46" s="444"/>
      <c r="M46" s="444"/>
      <c r="N46" s="444"/>
      <c r="O46" s="444"/>
      <c r="P46" s="444"/>
      <c r="Q46" s="444"/>
    </row>
    <row r="47" spans="1:17" x14ac:dyDescent="0.15">
      <c r="A47" s="404" t="s">
        <v>794</v>
      </c>
      <c r="B47" s="655">
        <v>500</v>
      </c>
      <c r="K47" s="443"/>
      <c r="L47" s="444"/>
      <c r="M47" s="444"/>
      <c r="N47" s="444"/>
      <c r="O47" s="444"/>
      <c r="P47" s="444"/>
      <c r="Q47" s="444"/>
    </row>
    <row r="48" spans="1:17" x14ac:dyDescent="0.15">
      <c r="K48" s="443"/>
      <c r="L48" s="444"/>
      <c r="M48" s="444"/>
      <c r="N48" s="444"/>
      <c r="O48" s="444"/>
      <c r="P48" s="444"/>
      <c r="Q48" s="444"/>
    </row>
    <row r="49" spans="11:17" x14ac:dyDescent="0.15">
      <c r="K49" s="443"/>
      <c r="L49" s="444"/>
      <c r="M49" s="444"/>
      <c r="N49" s="444"/>
      <c r="O49" s="444"/>
      <c r="P49" s="444"/>
      <c r="Q49" s="444"/>
    </row>
    <row r="50" spans="11:17" x14ac:dyDescent="0.15">
      <c r="K50" s="443"/>
      <c r="L50" s="444"/>
      <c r="M50" s="444"/>
      <c r="N50" s="444"/>
      <c r="O50" s="444"/>
      <c r="P50" s="444"/>
      <c r="Q50" s="444"/>
    </row>
    <row r="51" spans="11:17" x14ac:dyDescent="0.15">
      <c r="K51" s="443"/>
      <c r="L51" s="444"/>
      <c r="M51" s="444"/>
      <c r="N51" s="444"/>
      <c r="O51" s="444"/>
      <c r="P51" s="444"/>
      <c r="Q51" s="444"/>
    </row>
    <row r="52" spans="11:17" x14ac:dyDescent="0.15">
      <c r="K52" s="443"/>
      <c r="L52" s="444"/>
      <c r="M52" s="444"/>
      <c r="N52" s="444"/>
      <c r="O52" s="444"/>
      <c r="P52" s="444"/>
      <c r="Q52" s="444"/>
    </row>
    <row r="53" spans="11:17" x14ac:dyDescent="0.15">
      <c r="K53" s="443"/>
      <c r="L53" s="444"/>
      <c r="M53" s="444"/>
      <c r="N53" s="444"/>
      <c r="O53" s="444"/>
      <c r="P53" s="444"/>
      <c r="Q53" s="444"/>
    </row>
    <row r="54" spans="11:17" x14ac:dyDescent="0.15">
      <c r="K54" s="443"/>
      <c r="L54" s="444"/>
      <c r="M54" s="444"/>
      <c r="N54" s="444"/>
      <c r="O54" s="444"/>
      <c r="P54" s="444"/>
      <c r="Q54" s="444"/>
    </row>
    <row r="55" spans="11:17" x14ac:dyDescent="0.15">
      <c r="K55" s="443"/>
      <c r="L55" s="444"/>
      <c r="M55" s="444"/>
      <c r="N55" s="444"/>
      <c r="O55" s="444"/>
      <c r="P55" s="444"/>
      <c r="Q55" s="444"/>
    </row>
    <row r="56" spans="11:17" x14ac:dyDescent="0.15">
      <c r="K56" s="443"/>
      <c r="L56" s="444"/>
      <c r="M56" s="444"/>
      <c r="N56" s="444"/>
      <c r="O56" s="444"/>
      <c r="P56" s="444"/>
      <c r="Q56" s="444"/>
    </row>
    <row r="57" spans="11:17" x14ac:dyDescent="0.15">
      <c r="K57" s="443"/>
      <c r="L57" s="444"/>
      <c r="M57" s="444"/>
      <c r="N57" s="444"/>
      <c r="O57" s="444"/>
      <c r="P57" s="444"/>
      <c r="Q57" s="444"/>
    </row>
    <row r="58" spans="11:17" x14ac:dyDescent="0.15">
      <c r="K58" s="443"/>
      <c r="L58" s="444"/>
      <c r="M58" s="444"/>
      <c r="N58" s="444"/>
      <c r="O58" s="444"/>
      <c r="P58" s="444"/>
      <c r="Q58" s="444"/>
    </row>
    <row r="59" spans="11:17" x14ac:dyDescent="0.15">
      <c r="K59" s="443"/>
      <c r="L59" s="444"/>
      <c r="M59" s="444"/>
      <c r="N59" s="444"/>
      <c r="O59" s="444"/>
      <c r="P59" s="444"/>
      <c r="Q59" s="444"/>
    </row>
    <row r="60" spans="11:17" x14ac:dyDescent="0.15">
      <c r="K60" s="443"/>
      <c r="L60" s="444"/>
      <c r="M60" s="444"/>
      <c r="N60" s="444"/>
      <c r="O60" s="444"/>
      <c r="P60" s="444"/>
      <c r="Q60" s="444"/>
    </row>
    <row r="61" spans="11:17" x14ac:dyDescent="0.15">
      <c r="K61" s="443"/>
      <c r="L61" s="444"/>
      <c r="M61" s="444"/>
      <c r="N61" s="444"/>
      <c r="O61" s="444"/>
      <c r="P61" s="444"/>
      <c r="Q61" s="444"/>
    </row>
    <row r="62" spans="11:17" x14ac:dyDescent="0.15">
      <c r="K62" s="443"/>
      <c r="L62" s="444"/>
      <c r="M62" s="444"/>
      <c r="N62" s="444"/>
      <c r="O62" s="444"/>
      <c r="P62" s="444"/>
      <c r="Q62" s="444"/>
    </row>
    <row r="63" spans="11:17" x14ac:dyDescent="0.15">
      <c r="K63" s="443"/>
      <c r="L63" s="444"/>
      <c r="M63" s="444"/>
      <c r="N63" s="444"/>
      <c r="O63" s="444"/>
      <c r="P63" s="444"/>
      <c r="Q63" s="444"/>
    </row>
    <row r="64" spans="11:17" x14ac:dyDescent="0.15">
      <c r="K64" s="443"/>
      <c r="L64" s="444"/>
      <c r="M64" s="444"/>
      <c r="N64" s="444"/>
      <c r="O64" s="444"/>
      <c r="P64" s="444"/>
      <c r="Q64" s="444"/>
    </row>
    <row r="65" spans="11:17" x14ac:dyDescent="0.15">
      <c r="K65" s="443"/>
      <c r="L65" s="444"/>
      <c r="M65" s="444"/>
      <c r="N65" s="444"/>
      <c r="O65" s="444"/>
      <c r="P65" s="444"/>
      <c r="Q65" s="444"/>
    </row>
    <row r="66" spans="11:17" x14ac:dyDescent="0.15">
      <c r="K66" s="443"/>
      <c r="L66" s="444"/>
      <c r="M66" s="444"/>
      <c r="N66" s="444"/>
      <c r="O66" s="444"/>
      <c r="P66" s="444"/>
      <c r="Q66" s="444"/>
    </row>
    <row r="67" spans="11:17" x14ac:dyDescent="0.15">
      <c r="K67" s="443"/>
      <c r="L67" s="444"/>
      <c r="M67" s="444"/>
      <c r="N67" s="444"/>
      <c r="O67" s="444"/>
      <c r="P67" s="444"/>
      <c r="Q67" s="444"/>
    </row>
    <row r="68" spans="11:17" x14ac:dyDescent="0.15">
      <c r="K68" s="443"/>
      <c r="L68" s="444"/>
      <c r="M68" s="444"/>
      <c r="N68" s="444"/>
      <c r="O68" s="444"/>
      <c r="P68" s="444"/>
      <c r="Q68" s="444"/>
    </row>
    <row r="69" spans="11:17" x14ac:dyDescent="0.15">
      <c r="K69" s="443"/>
      <c r="L69" s="444"/>
      <c r="M69" s="444"/>
      <c r="N69" s="444"/>
      <c r="O69" s="444"/>
      <c r="P69" s="444"/>
      <c r="Q69" s="444"/>
    </row>
    <row r="70" spans="11:17" x14ac:dyDescent="0.15">
      <c r="K70" s="443"/>
      <c r="L70" s="444"/>
      <c r="M70" s="444"/>
      <c r="N70" s="444"/>
      <c r="O70" s="444"/>
      <c r="P70" s="444"/>
      <c r="Q70" s="444"/>
    </row>
    <row r="71" spans="11:17" x14ac:dyDescent="0.15">
      <c r="K71" s="443"/>
      <c r="L71" s="444"/>
      <c r="M71" s="444"/>
      <c r="N71" s="444"/>
      <c r="O71" s="444"/>
      <c r="P71" s="444"/>
      <c r="Q71" s="444"/>
    </row>
    <row r="72" spans="11:17" x14ac:dyDescent="0.15">
      <c r="K72" s="443"/>
      <c r="L72" s="444"/>
      <c r="M72" s="444"/>
      <c r="N72" s="444"/>
      <c r="O72" s="444"/>
      <c r="P72" s="444"/>
      <c r="Q72" s="444"/>
    </row>
    <row r="73" spans="11:17" x14ac:dyDescent="0.15">
      <c r="K73" s="443"/>
      <c r="L73" s="444"/>
      <c r="M73" s="444"/>
      <c r="N73" s="444"/>
      <c r="O73" s="444"/>
      <c r="P73" s="444"/>
      <c r="Q73" s="444"/>
    </row>
    <row r="74" spans="11:17" x14ac:dyDescent="0.15">
      <c r="K74" s="443"/>
      <c r="L74" s="444"/>
      <c r="M74" s="444"/>
      <c r="N74" s="444"/>
      <c r="O74" s="444"/>
      <c r="P74" s="444"/>
      <c r="Q74" s="444"/>
    </row>
    <row r="75" spans="11:17" x14ac:dyDescent="0.15">
      <c r="K75" s="443"/>
      <c r="L75" s="444"/>
      <c r="M75" s="444"/>
      <c r="N75" s="444"/>
      <c r="O75" s="444"/>
      <c r="P75" s="444"/>
      <c r="Q75" s="444"/>
    </row>
    <row r="76" spans="11:17" x14ac:dyDescent="0.15">
      <c r="K76" s="443"/>
      <c r="L76" s="444"/>
      <c r="M76" s="444"/>
      <c r="N76" s="444"/>
      <c r="O76" s="444"/>
      <c r="P76" s="444"/>
      <c r="Q76" s="444"/>
    </row>
    <row r="77" spans="11:17" x14ac:dyDescent="0.15">
      <c r="K77" s="443"/>
      <c r="L77" s="444"/>
      <c r="M77" s="444"/>
      <c r="N77" s="444"/>
      <c r="O77" s="444"/>
      <c r="P77" s="444"/>
      <c r="Q77" s="444"/>
    </row>
    <row r="78" spans="11:17" x14ac:dyDescent="0.15">
      <c r="K78" s="443"/>
      <c r="L78" s="444"/>
      <c r="M78" s="444"/>
      <c r="N78" s="444"/>
      <c r="O78" s="444"/>
      <c r="P78" s="444"/>
      <c r="Q78" s="444"/>
    </row>
    <row r="79" spans="11:17" x14ac:dyDescent="0.15">
      <c r="K79" s="443"/>
      <c r="L79" s="444"/>
      <c r="M79" s="444"/>
      <c r="N79" s="444"/>
      <c r="O79" s="444"/>
      <c r="P79" s="444"/>
      <c r="Q79" s="444"/>
    </row>
    <row r="80" spans="11:17" x14ac:dyDescent="0.15">
      <c r="K80" s="443"/>
      <c r="L80" s="444"/>
      <c r="M80" s="444"/>
      <c r="N80" s="444"/>
      <c r="O80" s="444"/>
      <c r="P80" s="444"/>
      <c r="Q80" s="444"/>
    </row>
    <row r="81" spans="11:17" x14ac:dyDescent="0.15">
      <c r="K81" s="443"/>
      <c r="L81" s="444"/>
      <c r="M81" s="444"/>
      <c r="N81" s="444"/>
      <c r="O81" s="444"/>
      <c r="P81" s="444"/>
      <c r="Q81" s="444"/>
    </row>
    <row r="82" spans="11:17" x14ac:dyDescent="0.15">
      <c r="K82" s="443"/>
      <c r="L82" s="444"/>
      <c r="M82" s="444"/>
      <c r="N82" s="444"/>
      <c r="O82" s="444"/>
      <c r="P82" s="444"/>
      <c r="Q82" s="444"/>
    </row>
    <row r="83" spans="11:17" x14ac:dyDescent="0.15">
      <c r="K83" s="443"/>
      <c r="L83" s="444"/>
      <c r="M83" s="444"/>
      <c r="N83" s="444"/>
      <c r="O83" s="444"/>
      <c r="P83" s="444"/>
      <c r="Q83" s="444"/>
    </row>
    <row r="84" spans="11:17" x14ac:dyDescent="0.15">
      <c r="K84" s="443"/>
      <c r="L84" s="444"/>
      <c r="M84" s="444"/>
      <c r="N84" s="444"/>
      <c r="O84" s="444"/>
      <c r="P84" s="444"/>
      <c r="Q84" s="444"/>
    </row>
    <row r="85" spans="11:17" x14ac:dyDescent="0.15">
      <c r="K85" s="443"/>
      <c r="L85" s="444"/>
      <c r="M85" s="444"/>
      <c r="N85" s="444"/>
      <c r="O85" s="444"/>
      <c r="P85" s="444"/>
      <c r="Q85" s="444"/>
    </row>
    <row r="86" spans="11:17" x14ac:dyDescent="0.15">
      <c r="K86" s="443"/>
      <c r="L86" s="444"/>
      <c r="M86" s="444"/>
      <c r="N86" s="444"/>
      <c r="O86" s="444"/>
      <c r="P86" s="444"/>
      <c r="Q86" s="444"/>
    </row>
    <row r="87" spans="11:17" x14ac:dyDescent="0.15">
      <c r="K87" s="443"/>
      <c r="L87" s="444"/>
      <c r="M87" s="444"/>
      <c r="N87" s="444"/>
      <c r="O87" s="444"/>
      <c r="P87" s="444"/>
      <c r="Q87" s="444"/>
    </row>
    <row r="88" spans="11:17" x14ac:dyDescent="0.15">
      <c r="K88" s="443"/>
      <c r="L88" s="444"/>
      <c r="M88" s="444"/>
      <c r="N88" s="444"/>
      <c r="O88" s="444"/>
      <c r="P88" s="444"/>
      <c r="Q88" s="444"/>
    </row>
    <row r="89" spans="11:17" x14ac:dyDescent="0.15">
      <c r="K89" s="443"/>
      <c r="L89" s="444"/>
      <c r="M89" s="444"/>
      <c r="N89" s="444"/>
      <c r="O89" s="444"/>
      <c r="P89" s="444"/>
      <c r="Q89" s="444"/>
    </row>
    <row r="90" spans="11:17" x14ac:dyDescent="0.15">
      <c r="K90" s="443"/>
      <c r="L90" s="444"/>
      <c r="M90" s="444"/>
      <c r="N90" s="444"/>
      <c r="O90" s="444"/>
      <c r="P90" s="444"/>
      <c r="Q90" s="444"/>
    </row>
    <row r="91" spans="11:17" x14ac:dyDescent="0.15">
      <c r="K91" s="443"/>
      <c r="L91" s="444"/>
      <c r="M91" s="444"/>
      <c r="N91" s="444"/>
      <c r="O91" s="444"/>
      <c r="P91" s="444"/>
      <c r="Q91" s="444"/>
    </row>
    <row r="92" spans="11:17" x14ac:dyDescent="0.15">
      <c r="K92" s="443"/>
      <c r="L92" s="444"/>
      <c r="M92" s="444"/>
      <c r="N92" s="444"/>
      <c r="O92" s="444"/>
      <c r="P92" s="444"/>
      <c r="Q92" s="444"/>
    </row>
    <row r="93" spans="11:17" x14ac:dyDescent="0.15">
      <c r="K93" s="443"/>
      <c r="L93" s="444"/>
      <c r="M93" s="444"/>
      <c r="N93" s="444"/>
      <c r="O93" s="444"/>
      <c r="P93" s="444"/>
      <c r="Q93" s="444"/>
    </row>
    <row r="94" spans="11:17" x14ac:dyDescent="0.15">
      <c r="K94" s="443"/>
      <c r="L94" s="444"/>
      <c r="M94" s="444"/>
      <c r="N94" s="444"/>
      <c r="O94" s="444"/>
      <c r="P94" s="444"/>
      <c r="Q94" s="444"/>
    </row>
    <row r="95" spans="11:17" x14ac:dyDescent="0.15">
      <c r="K95" s="443"/>
      <c r="L95" s="444"/>
      <c r="M95" s="444"/>
      <c r="N95" s="444"/>
      <c r="O95" s="444"/>
      <c r="P95" s="444"/>
      <c r="Q95" s="444"/>
    </row>
    <row r="96" spans="11:17" x14ac:dyDescent="0.15">
      <c r="K96" s="443"/>
      <c r="L96" s="444"/>
      <c r="M96" s="444"/>
      <c r="N96" s="444"/>
      <c r="O96" s="444"/>
      <c r="P96" s="444"/>
      <c r="Q96" s="444"/>
    </row>
    <row r="97" spans="11:17" x14ac:dyDescent="0.15">
      <c r="K97" s="443"/>
      <c r="L97" s="444"/>
      <c r="M97" s="444"/>
      <c r="N97" s="444"/>
      <c r="O97" s="444"/>
      <c r="P97" s="444"/>
      <c r="Q97" s="444"/>
    </row>
    <row r="98" spans="11:17" x14ac:dyDescent="0.15">
      <c r="K98" s="443"/>
      <c r="L98" s="444"/>
      <c r="M98" s="444"/>
      <c r="N98" s="444"/>
      <c r="O98" s="444"/>
      <c r="P98" s="444"/>
      <c r="Q98" s="444"/>
    </row>
    <row r="99" spans="11:17" x14ac:dyDescent="0.15">
      <c r="K99" s="443"/>
      <c r="L99" s="444"/>
      <c r="M99" s="444"/>
      <c r="N99" s="444"/>
      <c r="O99" s="444"/>
      <c r="P99" s="444"/>
      <c r="Q99" s="444"/>
    </row>
    <row r="100" spans="11:17" x14ac:dyDescent="0.15">
      <c r="K100" s="443"/>
      <c r="L100" s="444"/>
      <c r="M100" s="444"/>
      <c r="N100" s="444"/>
      <c r="O100" s="444"/>
      <c r="P100" s="444"/>
      <c r="Q100" s="444"/>
    </row>
    <row r="101" spans="11:17" x14ac:dyDescent="0.15">
      <c r="K101" s="443"/>
      <c r="L101" s="444"/>
      <c r="M101" s="444"/>
      <c r="N101" s="444"/>
      <c r="O101" s="444"/>
      <c r="P101" s="444"/>
      <c r="Q101" s="444"/>
    </row>
    <row r="102" spans="11:17" x14ac:dyDescent="0.15">
      <c r="K102" s="443"/>
      <c r="L102" s="444"/>
      <c r="M102" s="444"/>
      <c r="N102" s="444"/>
      <c r="O102" s="444"/>
      <c r="P102" s="444"/>
      <c r="Q102" s="444"/>
    </row>
    <row r="103" spans="11:17" x14ac:dyDescent="0.15">
      <c r="K103" s="443"/>
      <c r="L103" s="444"/>
      <c r="M103" s="444"/>
      <c r="N103" s="444"/>
      <c r="O103" s="444"/>
      <c r="P103" s="444"/>
      <c r="Q103" s="444"/>
    </row>
  </sheetData>
  <sheetProtection algorithmName="SHA-512" hashValue="1c1ySEImRJAdX1UlY0JZAflXo/hZlFAwb7KUIzwT0kfve6O4VhzSRmttd2oR7ttQr3L+485StR50MsC553ipWA==" saltValue="RlH9PUmyUu3y2FOMwcxrEg==" spinCount="100000" sheet="1" objects="1" scenarios="1" formatCells="0"/>
  <mergeCells count="4">
    <mergeCell ref="D27:F27"/>
    <mergeCell ref="D2:I2"/>
    <mergeCell ref="A2:B2"/>
    <mergeCell ref="A34:B34"/>
  </mergeCells>
  <conditionalFormatting sqref="F21">
    <cfRule type="expression" dxfId="4" priority="3">
      <formula>IF(F21&gt;1.05,TRUE,FALSE)</formula>
    </cfRule>
  </conditionalFormatting>
  <conditionalFormatting sqref="L3:Q102">
    <cfRule type="expression" dxfId="3" priority="31">
      <formula>IF(AND(L$2=$T$3,$K3=$T$4,L3&lt;&gt;""),TRUE,FALSE)</formula>
    </cfRule>
  </conditionalFormatting>
  <conditionalFormatting sqref="B32">
    <cfRule type="expression" dxfId="2" priority="1">
      <formula>IF(COUNTBLANK(Rng_MonthlyUsage)&gt;0,TRUE,FALSE)</formula>
    </cfRule>
  </conditionalFormatting>
  <dataValidations count="4">
    <dataValidation type="list" allowBlank="1" showInputMessage="1" showErrorMessage="1" sqref="T3">
      <formula1>$L$2:$Q$2</formula1>
    </dataValidation>
    <dataValidation type="list" allowBlank="1" showInputMessage="1" showErrorMessage="1" sqref="T4">
      <formula1>Rng_SavingsRates</formula1>
    </dataValidation>
    <dataValidation type="list" allowBlank="1" showInputMessage="1" showErrorMessage="1" sqref="F5 F7">
      <formula1>INDIRECT(E5)</formula1>
    </dataValidation>
    <dataValidation type="list" allowBlank="1" showInputMessage="1" showErrorMessage="1" sqref="F28">
      <formula1>"Initial Payment,Final Payment"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852" r:id="rId4" name="Button 28">
              <controlPr defaultSize="0" print="0" autoFill="0" autoPict="0" macro="[0]!mcrGenerateScenarios_Blend">
                <anchor moveWithCells="1" sizeWithCells="1">
                  <from>
                    <xdr:col>7</xdr:col>
                    <xdr:colOff>9525</xdr:colOff>
                    <xdr:row>30</xdr:row>
                    <xdr:rowOff>9525</xdr:rowOff>
                  </from>
                  <to>
                    <xdr:col>9</xdr:col>
                    <xdr:colOff>0</xdr:colOff>
                    <xdr:row>33</xdr:row>
                    <xdr:rowOff>9525</xdr:rowOff>
                  </to>
                </anchor>
              </controlPr>
            </control>
          </mc:Choice>
        </mc:AlternateContent>
        <mc:AlternateContent xmlns:mc="http://schemas.openxmlformats.org/markup-compatibility/2006">
          <mc:Choice Requires="x14">
            <control shapeId="77859" r:id="rId5" name="Button 35">
              <controlPr defaultSize="0" print="0" autoFill="0" autoPict="0" macro="[0]!mcrSaveFile">
                <anchor moveWithCells="1" sizeWithCells="1">
                  <from>
                    <xdr:col>7</xdr:col>
                    <xdr:colOff>9525</xdr:colOff>
                    <xdr:row>35</xdr:row>
                    <xdr:rowOff>19050</xdr:rowOff>
                  </from>
                  <to>
                    <xdr:col>9</xdr:col>
                    <xdr:colOff>9525</xdr:colOff>
                    <xdr:row>38</xdr:row>
                    <xdr:rowOff>19050</xdr:rowOff>
                  </to>
                </anchor>
              </controlPr>
            </control>
          </mc:Choice>
        </mc:AlternateContent>
        <mc:AlternateContent xmlns:mc="http://schemas.openxmlformats.org/markup-compatibility/2006">
          <mc:Choice Requires="x14">
            <control shapeId="77875" r:id="rId6" name="Button 51">
              <controlPr defaultSize="0" print="0" autoFill="0" autoPict="0" macro="[0]!mcrClearForm">
                <anchor moveWithCells="1" sizeWithCells="1">
                  <from>
                    <xdr:col>7</xdr:col>
                    <xdr:colOff>9525</xdr:colOff>
                    <xdr:row>39</xdr:row>
                    <xdr:rowOff>9525</xdr:rowOff>
                  </from>
                  <to>
                    <xdr:col>9</xdr:col>
                    <xdr:colOff>9525</xdr:colOff>
                    <xdr:row>42</xdr:row>
                    <xdr:rowOff>9525</xdr:rowOff>
                  </to>
                </anchor>
              </controlPr>
            </control>
          </mc:Choice>
        </mc:AlternateContent>
        <mc:AlternateContent xmlns:mc="http://schemas.openxmlformats.org/markup-compatibility/2006">
          <mc:Choice Requires="x14">
            <control shapeId="77878" r:id="rId7" name="Button 54">
              <controlPr defaultSize="0" print="0" autoFill="0" autoPict="0" macro="[0]!mcrRecommendSystems">
                <anchor moveWithCells="1" sizeWithCells="1">
                  <from>
                    <xdr:col>7</xdr:col>
                    <xdr:colOff>9525</xdr:colOff>
                    <xdr:row>26</xdr:row>
                    <xdr:rowOff>9525</xdr:rowOff>
                  </from>
                  <to>
                    <xdr:col>9</xdr:col>
                    <xdr:colOff>0</xdr:colOff>
                    <xdr:row>29</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2" id="{301D22B3-0EEE-4168-9495-AE30A29F0B3F}">
            <xm:f>IF(OR(OR(AND(VLOOKUP(F5,Components!$A$1:$N$117,8,FALSE)&gt;2,B16&lt;=2),AND(VLOOKUP(F5,Components!$A$1:$N$117,8,FALSE)&lt;=2,B16&gt;2)),I5*VLOOKUP(F5,Components!$A$1:$N$117,12,FALSE)&lt;$F$18,I5*VLOOKUP(F5,Components!$A$1:$N$117,11,FALSE)&gt;$F$18),TRUE,FALSE)</xm:f>
            <x14:dxf>
              <fill>
                <patternFill>
                  <bgColor rgb="FFFF0000"/>
                </patternFill>
              </fill>
            </x14:dxf>
          </x14:cfRule>
          <xm:sqref>F5</xm:sqref>
        </x14:conditionalFormatting>
      </x14:conditionalFormattings>
    </ext>
    <ext xmlns:x14="http://schemas.microsoft.com/office/spreadsheetml/2009/9/main" uri="{CCE6A557-97BC-4b89-ADB6-D9C93CAAB3DF}">
      <x14:dataValidations xmlns:xm="http://schemas.microsoft.com/office/excel/2006/main" count="11">
        <x14:dataValidation type="list" allowBlank="1" showInputMessage="1" showErrorMessage="1">
          <x14:formula1>
            <xm:f>ListData!$B$157:$B$159</xm:f>
          </x14:formula1>
          <xm:sqref>B27</xm:sqref>
        </x14:dataValidation>
        <x14:dataValidation type="list" allowBlank="1" showInputMessage="1" showErrorMessage="1">
          <x14:formula1>
            <xm:f>Components!$A$2:$A$7</xm:f>
          </x14:formula1>
          <xm:sqref>F4</xm:sqref>
        </x14:dataValidation>
        <x14:dataValidation type="list" allowBlank="1" showInputMessage="1" showErrorMessage="1">
          <x14:formula1>
            <xm:f>ListData!$B$25:$B$27</xm:f>
          </x14:formula1>
          <xm:sqref>B16</xm:sqref>
        </x14:dataValidation>
        <x14:dataValidation type="list" allowBlank="1" showInputMessage="1" showErrorMessage="1">
          <x14:formula1>
            <xm:f>ListData!$B$16:$B$22</xm:f>
          </x14:formula1>
          <xm:sqref>B18</xm:sqref>
        </x14:dataValidation>
        <x14:dataValidation type="list" allowBlank="1" showInputMessage="1" showErrorMessage="1">
          <x14:formula1>
            <xm:f>ListData!$B$11:$B$12</xm:f>
          </x14:formula1>
          <xm:sqref>B17</xm:sqref>
        </x14:dataValidation>
        <x14:dataValidation type="list" allowBlank="1" showInputMessage="1" showErrorMessage="1">
          <x14:formula1>
            <xm:f>Components!$A$115:$A$117</xm:f>
          </x14:formula1>
          <xm:sqref>F9:F10</xm:sqref>
        </x14:dataValidation>
        <x14:dataValidation type="list" allowBlank="1" showInputMessage="1" showErrorMessage="1">
          <x14:formula1>
            <xm:f>Components!$A$25:$A$30</xm:f>
          </x14:formula1>
          <xm:sqref>F6</xm:sqref>
        </x14:dataValidation>
        <x14:dataValidation type="list" allowBlank="1" showInputMessage="1" showErrorMessage="1">
          <x14:formula1>
            <xm:f>ListData!$B$39:$B$70</xm:f>
          </x14:formula1>
          <xm:sqref>B13</xm:sqref>
        </x14:dataValidation>
        <x14:dataValidation type="list" allowBlank="1" showInputMessage="1" showErrorMessage="1">
          <x14:formula1>
            <xm:f>ListData!$B$73:$B$153</xm:f>
          </x14:formula1>
          <xm:sqref>B25</xm:sqref>
        </x14:dataValidation>
        <x14:dataValidation type="list" allowBlank="1" showInputMessage="1" showErrorMessage="1">
          <x14:formula1>
            <xm:f>ListData!$B$162:$B$170</xm:f>
          </x14:formula1>
          <xm:sqref>B26</xm:sqref>
        </x14:dataValidation>
        <x14:dataValidation type="list" allowBlank="1" showInputMessage="1" showErrorMessage="1">
          <x14:formula1>
            <xm:f>CFE_History_DAC!$B$3:$O$3</xm:f>
          </x14:formula1>
          <xm:sqref>B20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3:G270"/>
  <sheetViews>
    <sheetView zoomScaleNormal="100" workbookViewId="0"/>
  </sheetViews>
  <sheetFormatPr defaultColWidth="11.42578125" defaultRowHeight="12.75" x14ac:dyDescent="0.2"/>
  <cols>
    <col min="1" max="1" width="15.7109375" style="3" customWidth="1"/>
    <col min="2" max="2" width="9.7109375" style="3" customWidth="1"/>
    <col min="3" max="3" width="12.42578125" style="3" customWidth="1"/>
    <col min="4" max="4" width="12.7109375" style="3" bestFit="1" customWidth="1"/>
    <col min="5" max="5" width="13.7109375" style="3" bestFit="1" customWidth="1"/>
    <col min="6" max="6" width="12.7109375" style="3" customWidth="1"/>
    <col min="7" max="7" width="86.42578125" style="3" bestFit="1" customWidth="1"/>
    <col min="8" max="16384" width="11.42578125" style="3"/>
  </cols>
  <sheetData>
    <row r="3" spans="1:7" ht="23.25" x14ac:dyDescent="0.35">
      <c r="G3" s="4" t="s">
        <v>872</v>
      </c>
    </row>
    <row r="4" spans="1:7" ht="20.25" customHeight="1" x14ac:dyDescent="0.3">
      <c r="B4" s="5"/>
      <c r="G4" s="5" t="str">
        <f>IF(Cust_Company="",Cust_FirstName&amp;" "&amp;Cust_LastName&amp;" "&amp;Cust_LastName2,Cust_Company)</f>
        <v xml:space="preserve">  </v>
      </c>
    </row>
    <row r="5" spans="1:7" ht="18" customHeight="1" x14ac:dyDescent="0.3">
      <c r="G5" s="7" t="str">
        <f>IF(Cust_Address="","",IF(Cust_Colonia="",Cust_Address,Cust_Address&amp;", Col. "&amp;Cust_Colonia))</f>
        <v/>
      </c>
    </row>
    <row r="6" spans="1:7" ht="18" customHeight="1" x14ac:dyDescent="0.3">
      <c r="G6" s="7" t="str">
        <f>IF(Cust_City="","",Cust_City)</f>
        <v/>
      </c>
    </row>
    <row r="7" spans="1:7" ht="18" customHeight="1" x14ac:dyDescent="0.3">
      <c r="G7" s="7" t="str">
        <f>Cust_State&amp;"  "&amp;Cust_Zip</f>
        <v xml:space="preserve">Gto.  </v>
      </c>
    </row>
    <row r="9" spans="1:7" ht="18" customHeight="1" x14ac:dyDescent="0.3">
      <c r="G9" s="7" t="str">
        <f>"PV system size is "&amp;TEXT(Sys_SizeWatts/1000,"0.00")&amp;"kW"</f>
        <v>PV system size is 3.25kW</v>
      </c>
    </row>
    <row r="10" spans="1:7" ht="18" customHeight="1" x14ac:dyDescent="0.3">
      <c r="A10"/>
      <c r="B10" s="7"/>
      <c r="C10" s="7"/>
      <c r="G10" s="7" t="str">
        <f>IF(SysSpec_PV_Units=0,"",SysSpec_PV_Units&amp;" "&amp;SysSpec_PV)</f>
        <v>10 Trina Solar_TSM-325PT</v>
      </c>
    </row>
    <row r="11" spans="1:7" ht="18" customHeight="1" x14ac:dyDescent="0.3">
      <c r="A11"/>
      <c r="G11" s="7" t="str">
        <f>IF(SysSpec_Inverters_Units=0,"",SysSpec_Inverters_Units&amp;" "&amp;SysSpec_Inverter)</f>
        <v>1 KACO_blueplanet 3.0 TL1 M2 WM OD US33</v>
      </c>
    </row>
    <row r="12" spans="1:7" ht="18" customHeight="1" x14ac:dyDescent="0.3">
      <c r="A12"/>
      <c r="G12" s="7" t="str">
        <f>IF(SysSpec_Optimizers_Units=0,"",SysSpec_Optimizers_Units&amp;" "&amp;SysSpec_Optimizer)</f>
        <v/>
      </c>
    </row>
    <row r="13" spans="1:7" ht="15.75" customHeight="1" x14ac:dyDescent="0.2">
      <c r="A13"/>
      <c r="C13" s="8"/>
    </row>
    <row r="14" spans="1:7" ht="15.75" customHeight="1" x14ac:dyDescent="0.2"/>
    <row r="15" spans="1:7" ht="15.75" customHeight="1" x14ac:dyDescent="0.2"/>
    <row r="16" spans="1:7" ht="23.25" customHeight="1" x14ac:dyDescent="0.2">
      <c r="A16" s="1"/>
      <c r="B16" s="1"/>
      <c r="C16" s="1"/>
      <c r="E16" s="716" t="s">
        <v>1170</v>
      </c>
      <c r="F16" s="716"/>
      <c r="G16" s="716"/>
    </row>
    <row r="17" spans="1:7" ht="15.75" customHeight="1" x14ac:dyDescent="0.2"/>
    <row r="18" spans="1:7" ht="18" customHeight="1" x14ac:dyDescent="0.3">
      <c r="A18" s="677" t="s">
        <v>28</v>
      </c>
      <c r="B18" s="7"/>
      <c r="C18" s="7"/>
      <c r="D18" s="7"/>
      <c r="E18" s="682">
        <f>Cust_InitialPymt</f>
        <v>0</v>
      </c>
      <c r="F18" s="682"/>
      <c r="G18" s="678" t="str">
        <f>IF(E18=0,"Go solar with no upfront cost","Go solar with low upfront cost")</f>
        <v>Go solar with no upfront cost</v>
      </c>
    </row>
    <row r="19" spans="1:7" ht="15.75" customHeight="1" x14ac:dyDescent="0.25">
      <c r="A19" s="676"/>
      <c r="B19" s="676"/>
      <c r="C19" s="676"/>
      <c r="E19" s="676"/>
      <c r="F19" s="676"/>
      <c r="G19" s="676"/>
    </row>
    <row r="20" spans="1:7" ht="18" customHeight="1" x14ac:dyDescent="0.3">
      <c r="A20" s="677" t="s">
        <v>500</v>
      </c>
      <c r="B20" s="7"/>
      <c r="C20" s="7"/>
      <c r="D20" s="7"/>
      <c r="E20" s="678">
        <f>Savings!AB6/12</f>
        <v>2082.8194316161321</v>
      </c>
      <c r="F20" s="678"/>
      <c r="G20" s="678" t="s">
        <v>501</v>
      </c>
    </row>
    <row r="21" spans="1:7" ht="15.75" customHeight="1" x14ac:dyDescent="0.25">
      <c r="A21" s="676"/>
      <c r="B21" s="676"/>
      <c r="C21" s="676"/>
      <c r="E21" s="676"/>
      <c r="F21" s="676"/>
      <c r="G21" s="676"/>
    </row>
    <row r="22" spans="1:7" ht="18" customHeight="1" x14ac:dyDescent="0.3">
      <c r="A22" s="677" t="s">
        <v>30</v>
      </c>
      <c r="B22" s="7"/>
      <c r="C22" s="7"/>
      <c r="D22" s="7"/>
      <c r="E22" s="681">
        <f>FinYrIncr</f>
        <v>3.5000000000000003E-2</v>
      </c>
      <c r="F22" s="681"/>
      <c r="G22" s="678" t="str">
        <f>"Low compared to "&amp;TEXT(CFE_YrIncreasePct,"0.0%")&amp;" CFE rate increases"</f>
        <v>Low compared to 8.0% CFE rate increases</v>
      </c>
    </row>
    <row r="23" spans="1:7" ht="15.75" customHeight="1" x14ac:dyDescent="0.25">
      <c r="A23" s="676"/>
      <c r="B23" s="676"/>
      <c r="C23" s="676"/>
      <c r="E23" s="676"/>
      <c r="F23" s="676"/>
      <c r="G23" s="676"/>
    </row>
    <row r="24" spans="1:7" ht="18" customHeight="1" x14ac:dyDescent="0.3">
      <c r="A24" s="677" t="s">
        <v>31</v>
      </c>
      <c r="B24" s="7"/>
      <c r="C24" s="7"/>
      <c r="D24" s="7"/>
      <c r="E24" s="680">
        <f>Cust_LeaseTermYears</f>
        <v>15</v>
      </c>
      <c r="F24" s="678"/>
      <c r="G24" s="678" t="s">
        <v>32</v>
      </c>
    </row>
    <row r="25" spans="1:7" ht="15.75" customHeight="1" x14ac:dyDescent="0.25">
      <c r="A25" s="676"/>
      <c r="B25" s="676"/>
      <c r="C25" s="676"/>
      <c r="E25" s="676"/>
      <c r="F25" s="676"/>
      <c r="G25" s="676"/>
    </row>
    <row r="26" spans="1:7" ht="18" customHeight="1" x14ac:dyDescent="0.3">
      <c r="A26" s="677" t="s">
        <v>34</v>
      </c>
      <c r="B26" s="7"/>
      <c r="C26" s="7"/>
      <c r="D26" s="7"/>
      <c r="E26" s="678" t="s">
        <v>29</v>
      </c>
      <c r="F26" s="678"/>
      <c r="G26" s="678" t="str">
        <f>"We will remotely monitor your system for you for "&amp;Cust_LeaseTermYears&amp;" years"</f>
        <v>We will remotely monitor your system for you for 15 years</v>
      </c>
    </row>
    <row r="27" spans="1:7" ht="15.75" customHeight="1" x14ac:dyDescent="0.25">
      <c r="A27" s="676"/>
      <c r="B27" s="676"/>
      <c r="C27" s="676"/>
      <c r="E27" s="676"/>
      <c r="F27" s="676"/>
      <c r="G27" s="676"/>
    </row>
    <row r="28" spans="1:7" ht="18" customHeight="1" x14ac:dyDescent="0.3">
      <c r="A28" s="677" t="s">
        <v>36</v>
      </c>
      <c r="B28" s="7"/>
      <c r="C28" s="7"/>
      <c r="D28" s="7"/>
      <c r="E28" s="679" t="s">
        <v>29</v>
      </c>
      <c r="F28" s="679"/>
      <c r="G28" s="679" t="str">
        <f>"No need to worry about repairs for "&amp;Cust_LeaseTermYears&amp;" years"</f>
        <v>No need to worry about repairs for 15 years</v>
      </c>
    </row>
    <row r="29" spans="1:7" ht="15.75" customHeight="1" x14ac:dyDescent="0.25">
      <c r="A29" s="676"/>
      <c r="B29" s="676"/>
      <c r="C29" s="676"/>
      <c r="E29" s="676"/>
      <c r="F29" s="676"/>
      <c r="G29" s="676"/>
    </row>
    <row r="30" spans="1:7" ht="18" customHeight="1" x14ac:dyDescent="0.3">
      <c r="A30" s="677" t="s">
        <v>11</v>
      </c>
      <c r="B30" s="7"/>
      <c r="C30" s="7"/>
      <c r="D30" s="7"/>
      <c r="E30" s="679" t="s">
        <v>29</v>
      </c>
      <c r="F30" s="679"/>
      <c r="G30" s="679" t="s">
        <v>1091</v>
      </c>
    </row>
    <row r="31" spans="1:7" ht="15.75" customHeight="1" x14ac:dyDescent="0.25">
      <c r="A31" s="676"/>
      <c r="B31" s="676"/>
      <c r="C31" s="676"/>
      <c r="E31" s="676"/>
      <c r="F31" s="676"/>
      <c r="G31" s="676"/>
    </row>
    <row r="32" spans="1:7" ht="18" customHeight="1" x14ac:dyDescent="0.3">
      <c r="A32" s="677" t="s">
        <v>459</v>
      </c>
      <c r="B32" s="7"/>
      <c r="C32" s="7"/>
      <c r="D32" s="7"/>
      <c r="E32" s="678" t="s">
        <v>29</v>
      </c>
      <c r="F32" s="679"/>
      <c r="G32" s="678" t="s">
        <v>309</v>
      </c>
    </row>
    <row r="33" spans="1:7" x14ac:dyDescent="0.2">
      <c r="A33" s="1"/>
      <c r="B33" s="1"/>
      <c r="C33" s="1"/>
      <c r="D33" s="1"/>
      <c r="E33" s="1"/>
      <c r="F33" s="1"/>
      <c r="G33" s="1"/>
    </row>
    <row r="34" spans="1:7" x14ac:dyDescent="0.2">
      <c r="A34" s="1"/>
      <c r="B34" s="1"/>
      <c r="C34" s="1"/>
      <c r="D34" s="1"/>
      <c r="E34" s="1"/>
      <c r="F34" s="1"/>
      <c r="G34" s="1"/>
    </row>
    <row r="35" spans="1:7" x14ac:dyDescent="0.2">
      <c r="A35" s="1"/>
      <c r="B35" s="1"/>
      <c r="C35" s="1"/>
      <c r="D35" s="1"/>
      <c r="E35" s="1"/>
      <c r="F35" s="1"/>
      <c r="G35" s="1"/>
    </row>
    <row r="36" spans="1:7" x14ac:dyDescent="0.2">
      <c r="A36" s="1"/>
      <c r="B36" s="1"/>
      <c r="C36" s="1"/>
      <c r="D36" s="1"/>
      <c r="E36" s="1"/>
      <c r="F36" s="1"/>
      <c r="G36" s="1"/>
    </row>
    <row r="37" spans="1:7" x14ac:dyDescent="0.2">
      <c r="A37" s="9"/>
      <c r="B37" s="1"/>
      <c r="C37" s="1"/>
      <c r="D37" s="1"/>
      <c r="E37" s="1"/>
      <c r="F37" s="1"/>
      <c r="G37" s="1"/>
    </row>
    <row r="57" spans="1:7" ht="23.25" x14ac:dyDescent="0.35">
      <c r="G57" s="4" t="str">
        <f>G3</f>
        <v>MySOL Service Plan Summary</v>
      </c>
    </row>
    <row r="58" spans="1:7" ht="20.25" customHeight="1" x14ac:dyDescent="0.3">
      <c r="B58" s="5"/>
      <c r="G58" s="5" t="str">
        <f>G4</f>
        <v xml:space="preserve">  </v>
      </c>
    </row>
    <row r="59" spans="1:7" ht="18" customHeight="1" x14ac:dyDescent="0.3">
      <c r="G59" s="7" t="str">
        <f>G5</f>
        <v/>
      </c>
    </row>
    <row r="60" spans="1:7" ht="18" customHeight="1" x14ac:dyDescent="0.3">
      <c r="G60" s="7" t="str">
        <f>G6</f>
        <v/>
      </c>
    </row>
    <row r="61" spans="1:7" ht="18" customHeight="1" x14ac:dyDescent="0.3">
      <c r="G61" s="7" t="str">
        <f>G7</f>
        <v xml:space="preserve">Gto.  </v>
      </c>
    </row>
    <row r="63" spans="1:7" ht="18" customHeight="1" x14ac:dyDescent="0.3">
      <c r="G63" s="7" t="str">
        <f>G9</f>
        <v>PV system size is 3.25kW</v>
      </c>
    </row>
    <row r="64" spans="1:7" ht="18" customHeight="1" x14ac:dyDescent="0.3">
      <c r="A64"/>
      <c r="B64" s="7"/>
      <c r="C64" s="7"/>
      <c r="G64" s="7" t="str">
        <f>G10</f>
        <v>10 Trina Solar_TSM-325PT</v>
      </c>
    </row>
    <row r="65" spans="1:7" ht="18" customHeight="1" x14ac:dyDescent="0.3">
      <c r="A65"/>
      <c r="G65" s="7" t="str">
        <f>G11</f>
        <v>1 KACO_blueplanet 3.0 TL1 M2 WM OD US33</v>
      </c>
    </row>
    <row r="66" spans="1:7" ht="18" customHeight="1" x14ac:dyDescent="0.3">
      <c r="A66"/>
      <c r="G66" s="7" t="str">
        <f>G12</f>
        <v/>
      </c>
    </row>
    <row r="67" spans="1:7" x14ac:dyDescent="0.2">
      <c r="C67" s="8"/>
    </row>
    <row r="70" spans="1:7" ht="40.5" x14ac:dyDescent="0.3">
      <c r="A70" s="683" t="s">
        <v>201</v>
      </c>
      <c r="B70" s="684"/>
      <c r="C70" s="685" t="s">
        <v>460</v>
      </c>
      <c r="D70" s="685" t="s">
        <v>461</v>
      </c>
      <c r="E70" s="686" t="s">
        <v>200</v>
      </c>
      <c r="F70" s="7"/>
      <c r="G70" s="5" t="str">
        <f>15&amp;" Year Summary"</f>
        <v>15 Year Summary</v>
      </c>
    </row>
    <row r="71" spans="1:7" ht="20.25" x14ac:dyDescent="0.3">
      <c r="A71" s="7" t="s">
        <v>16</v>
      </c>
      <c r="B71" s="7"/>
      <c r="C71" s="687">
        <f>Savings!J6</f>
        <v>33729.695999999996</v>
      </c>
      <c r="D71" s="687">
        <f>Savings!X6</f>
        <v>2879.1573969083925</v>
      </c>
      <c r="E71" s="7"/>
      <c r="F71" s="7"/>
      <c r="G71" s="688" t="str">
        <f>"Savings in year " &amp;15&amp;" is "&amp;TEXT(Savings!AF20,"0.0%")</f>
        <v>Savings in year 15 is 53.4%</v>
      </c>
    </row>
    <row r="72" spans="1:7" ht="20.25" x14ac:dyDescent="0.3">
      <c r="A72" s="684" t="s">
        <v>462</v>
      </c>
      <c r="B72" s="684"/>
      <c r="C72" s="689" t="s">
        <v>39</v>
      </c>
      <c r="D72" s="690">
        <f>Savings!AB6</f>
        <v>24993.833179393583</v>
      </c>
      <c r="E72" s="7"/>
      <c r="F72" s="7"/>
      <c r="G72" s="688" t="str">
        <f>"Savings over "&amp;15&amp;" years is $"&amp;TEXT(G120,"#,##")</f>
        <v>Savings over 15 years is $381,226</v>
      </c>
    </row>
    <row r="73" spans="1:7" ht="20.25" x14ac:dyDescent="0.3">
      <c r="A73" s="5" t="s">
        <v>26</v>
      </c>
      <c r="B73" s="7"/>
      <c r="C73" s="691">
        <f>SUM(C71:C72)</f>
        <v>33729.695999999996</v>
      </c>
      <c r="D73" s="691">
        <f>SUM(D71:D72)</f>
        <v>27872.990576301974</v>
      </c>
      <c r="E73" s="692">
        <f>C73-D73</f>
        <v>5856.7054236980221</v>
      </c>
      <c r="F73" s="693"/>
      <c r="G73" s="5"/>
    </row>
    <row r="74" spans="1:7" ht="15.75" x14ac:dyDescent="0.25">
      <c r="A74" s="6"/>
      <c r="C74" s="114"/>
      <c r="D74" s="114"/>
      <c r="E74" s="13"/>
      <c r="G74" s="10"/>
    </row>
    <row r="75" spans="1:7" ht="15.75" x14ac:dyDescent="0.25">
      <c r="A75" s="10"/>
      <c r="C75" s="11"/>
      <c r="D75" s="11"/>
      <c r="E75" s="113"/>
      <c r="F75" s="13"/>
      <c r="G75" s="10"/>
    </row>
    <row r="76" spans="1:7" x14ac:dyDescent="0.2">
      <c r="A76" s="2"/>
      <c r="C76" s="12"/>
    </row>
    <row r="100" spans="1:7" ht="13.5" thickBot="1" x14ac:dyDescent="0.25"/>
    <row r="101" spans="1:7" ht="21" thickBot="1" x14ac:dyDescent="0.25">
      <c r="A101" s="745" t="str">
        <f>G3</f>
        <v>MySOL Service Plan Summary</v>
      </c>
      <c r="B101" s="746"/>
      <c r="C101" s="746"/>
      <c r="D101" s="746"/>
      <c r="E101" s="746"/>
      <c r="F101" s="746"/>
      <c r="G101" s="747"/>
    </row>
    <row r="102" spans="1:7" ht="18" customHeight="1" thickBot="1" x14ac:dyDescent="0.25">
      <c r="A102" s="748" t="s">
        <v>18</v>
      </c>
      <c r="B102" s="749"/>
      <c r="C102" s="751" t="s">
        <v>460</v>
      </c>
      <c r="D102" s="752"/>
      <c r="E102" s="753" t="s">
        <v>779</v>
      </c>
      <c r="F102" s="754"/>
      <c r="G102" s="755"/>
    </row>
    <row r="103" spans="1:7" ht="18" customHeight="1" x14ac:dyDescent="0.2">
      <c r="A103" s="750"/>
      <c r="B103" s="719"/>
      <c r="C103" s="723" t="s">
        <v>16</v>
      </c>
      <c r="D103" s="719"/>
      <c r="E103" s="724" t="s">
        <v>777</v>
      </c>
      <c r="F103" s="725"/>
      <c r="G103" s="696" t="s">
        <v>778</v>
      </c>
    </row>
    <row r="104" spans="1:7" ht="12.75" customHeight="1" x14ac:dyDescent="0.2">
      <c r="A104" s="718" t="s">
        <v>28</v>
      </c>
      <c r="B104" s="719"/>
      <c r="C104" s="728">
        <v>0</v>
      </c>
      <c r="D104" s="719"/>
      <c r="E104" s="726">
        <f>Cust_InitialPymt</f>
        <v>0</v>
      </c>
      <c r="F104" s="727"/>
      <c r="G104" s="694"/>
    </row>
    <row r="105" spans="1:7" ht="18" x14ac:dyDescent="0.2">
      <c r="A105" s="718">
        <v>1</v>
      </c>
      <c r="B105" s="720"/>
      <c r="C105" s="728">
        <f>Savings!J6</f>
        <v>33729.695999999996</v>
      </c>
      <c r="D105" s="719"/>
      <c r="E105" s="726" t="str">
        <f t="shared" ref="E105:E119" si="0">IF(A105&lt;&gt;Cust_LeaseTermYears,"",Cust_TotalPymtAtTermEnd)</f>
        <v/>
      </c>
      <c r="F105" s="727"/>
      <c r="G105" s="694">
        <f>Savings!AE6</f>
        <v>5856.7054236980221</v>
      </c>
    </row>
    <row r="106" spans="1:7" ht="18" x14ac:dyDescent="0.2">
      <c r="A106" s="718">
        <v>2</v>
      </c>
      <c r="B106" s="720"/>
      <c r="C106" s="728">
        <f>Savings!J7</f>
        <v>36428.071679999994</v>
      </c>
      <c r="D106" s="719"/>
      <c r="E106" s="726" t="str">
        <f t="shared" si="0"/>
        <v/>
      </c>
      <c r="F106" s="727"/>
      <c r="G106" s="694">
        <f>Savings!AE7</f>
        <v>8657.2770289082291</v>
      </c>
    </row>
    <row r="107" spans="1:7" ht="18" x14ac:dyDescent="0.2">
      <c r="A107" s="718">
        <v>3</v>
      </c>
      <c r="B107" s="720"/>
      <c r="C107" s="728">
        <f>Savings!J8</f>
        <v>39342.3174144</v>
      </c>
      <c r="D107" s="719"/>
      <c r="E107" s="726" t="str">
        <f t="shared" si="0"/>
        <v/>
      </c>
      <c r="F107" s="727"/>
      <c r="G107" s="694">
        <f>Savings!AE8</f>
        <v>10483.402357021383</v>
      </c>
    </row>
    <row r="108" spans="1:7" ht="18" x14ac:dyDescent="0.2">
      <c r="A108" s="718">
        <v>4</v>
      </c>
      <c r="B108" s="720"/>
      <c r="C108" s="728">
        <f>Savings!J9</f>
        <v>42489.702807551999</v>
      </c>
      <c r="D108" s="719"/>
      <c r="E108" s="726" t="str">
        <f t="shared" si="0"/>
        <v/>
      </c>
      <c r="F108" s="727"/>
      <c r="G108" s="694">
        <f>Savings!AE9</f>
        <v>12497.176961895562</v>
      </c>
    </row>
    <row r="109" spans="1:7" ht="18" x14ac:dyDescent="0.2">
      <c r="A109" s="718">
        <v>5</v>
      </c>
      <c r="B109" s="720"/>
      <c r="C109" s="728">
        <f>Savings!J10</f>
        <v>45888.879032156168</v>
      </c>
      <c r="D109" s="719"/>
      <c r="E109" s="726" t="str">
        <f t="shared" si="0"/>
        <v/>
      </c>
      <c r="F109" s="727"/>
      <c r="G109" s="694">
        <f>Savings!AE10</f>
        <v>14715.13812247281</v>
      </c>
    </row>
    <row r="110" spans="1:7" ht="18" x14ac:dyDescent="0.2">
      <c r="A110" s="718">
        <v>6</v>
      </c>
      <c r="B110" s="720"/>
      <c r="C110" s="728">
        <f>Savings!J11</f>
        <v>49559.98935472867</v>
      </c>
      <c r="D110" s="719"/>
      <c r="E110" s="726" t="str">
        <f t="shared" si="0"/>
        <v/>
      </c>
      <c r="F110" s="727"/>
      <c r="G110" s="694">
        <f>Savings!AE11</f>
        <v>17155.20216528458</v>
      </c>
    </row>
    <row r="111" spans="1:7" ht="18" x14ac:dyDescent="0.2">
      <c r="A111" s="718">
        <v>7</v>
      </c>
      <c r="B111" s="720"/>
      <c r="C111" s="728">
        <f>Savings!J12</f>
        <v>53524.788503106975</v>
      </c>
      <c r="D111" s="719"/>
      <c r="E111" s="726" t="str">
        <f t="shared" si="0"/>
        <v/>
      </c>
      <c r="F111" s="727"/>
      <c r="G111" s="694">
        <f>Savings!AE12</f>
        <v>19836.776852708383</v>
      </c>
    </row>
    <row r="112" spans="1:7" ht="18" x14ac:dyDescent="0.2">
      <c r="A112" s="718">
        <v>8</v>
      </c>
      <c r="B112" s="720"/>
      <c r="C112" s="728">
        <f>Savings!J13</f>
        <v>57806.771583355527</v>
      </c>
      <c r="D112" s="719"/>
      <c r="E112" s="726" t="str">
        <f t="shared" si="0"/>
        <v/>
      </c>
      <c r="F112" s="727"/>
      <c r="G112" s="694">
        <f>Savings!AE13</f>
        <v>22780.882838464415</v>
      </c>
    </row>
    <row r="113" spans="1:7" ht="18" x14ac:dyDescent="0.2">
      <c r="A113" s="718">
        <v>9</v>
      </c>
      <c r="B113" s="720"/>
      <c r="C113" s="728">
        <f>Savings!J14</f>
        <v>62431.313310023972</v>
      </c>
      <c r="D113" s="719"/>
      <c r="E113" s="726" t="str">
        <f t="shared" si="0"/>
        <v/>
      </c>
      <c r="F113" s="727"/>
      <c r="G113" s="694">
        <f>Savings!AE14</f>
        <v>26010.284918549543</v>
      </c>
    </row>
    <row r="114" spans="1:7" ht="18" x14ac:dyDescent="0.2">
      <c r="A114" s="718">
        <v>10</v>
      </c>
      <c r="B114" s="720"/>
      <c r="C114" s="728">
        <f>Savings!J15</f>
        <v>67425.818374825903</v>
      </c>
      <c r="D114" s="719"/>
      <c r="E114" s="726" t="str">
        <f t="shared" si="0"/>
        <v/>
      </c>
      <c r="F114" s="727"/>
      <c r="G114" s="694">
        <f>Savings!AE15</f>
        <v>29549.633864165677</v>
      </c>
    </row>
    <row r="115" spans="1:7" ht="18" x14ac:dyDescent="0.2">
      <c r="A115" s="718">
        <v>11</v>
      </c>
      <c r="B115" s="720"/>
      <c r="C115" s="728">
        <f>Savings!J16</f>
        <v>72819.883844811964</v>
      </c>
      <c r="D115" s="719"/>
      <c r="E115" s="726" t="str">
        <f t="shared" si="0"/>
        <v/>
      </c>
      <c r="F115" s="727"/>
      <c r="G115" s="694">
        <f>Savings!AE16</f>
        <v>33425.619686233287</v>
      </c>
    </row>
    <row r="116" spans="1:7" ht="18" x14ac:dyDescent="0.2">
      <c r="A116" s="718">
        <v>12</v>
      </c>
      <c r="B116" s="720"/>
      <c r="C116" s="728">
        <f>Savings!J17</f>
        <v>78645.474552396947</v>
      </c>
      <c r="D116" s="719"/>
      <c r="E116" s="726" t="str">
        <f t="shared" si="0"/>
        <v/>
      </c>
      <c r="F116" s="727"/>
      <c r="G116" s="694">
        <f>Savings!AE17</f>
        <v>37667.137249160129</v>
      </c>
    </row>
    <row r="117" spans="1:7" ht="18" x14ac:dyDescent="0.2">
      <c r="A117" s="718">
        <v>13</v>
      </c>
      <c r="B117" s="720"/>
      <c r="C117" s="728">
        <f>Savings!J18</f>
        <v>84937.112516588706</v>
      </c>
      <c r="D117" s="719"/>
      <c r="E117" s="726" t="str">
        <f t="shared" si="0"/>
        <v/>
      </c>
      <c r="F117" s="727"/>
      <c r="G117" s="694">
        <f>Savings!AE18</f>
        <v>42305.465225064952</v>
      </c>
    </row>
    <row r="118" spans="1:7" ht="18" x14ac:dyDescent="0.2">
      <c r="A118" s="718">
        <v>14</v>
      </c>
      <c r="B118" s="720"/>
      <c r="C118" s="728">
        <f>Savings!J19</f>
        <v>91732.081517915794</v>
      </c>
      <c r="D118" s="719"/>
      <c r="E118" s="726" t="str">
        <f t="shared" si="0"/>
        <v/>
      </c>
      <c r="F118" s="727"/>
      <c r="G118" s="694">
        <f>Savings!AE19</f>
        <v>47374.459459074387</v>
      </c>
    </row>
    <row r="119" spans="1:7" ht="18.75" thickBot="1" x14ac:dyDescent="0.25">
      <c r="A119" s="718">
        <v>15</v>
      </c>
      <c r="B119" s="720"/>
      <c r="C119" s="728">
        <f>Savings!J20</f>
        <v>99070.648039349064</v>
      </c>
      <c r="D119" s="719"/>
      <c r="E119" s="726">
        <f t="shared" si="0"/>
        <v>100</v>
      </c>
      <c r="F119" s="727"/>
      <c r="G119" s="694">
        <f>Savings!AE20</f>
        <v>52910.761902084356</v>
      </c>
    </row>
    <row r="120" spans="1:7" ht="18.75" thickBot="1" x14ac:dyDescent="0.25">
      <c r="A120" s="756" t="s">
        <v>33</v>
      </c>
      <c r="B120" s="752"/>
      <c r="C120" s="763">
        <f>SUM(C104:D119)</f>
        <v>915832.54853121145</v>
      </c>
      <c r="D120" s="752"/>
      <c r="E120" s="721">
        <f>SUM(E104:F119)</f>
        <v>100</v>
      </c>
      <c r="F120" s="722"/>
      <c r="G120" s="695">
        <f>SUM(G105:G119)</f>
        <v>381225.92405478569</v>
      </c>
    </row>
    <row r="122" spans="1:7" x14ac:dyDescent="0.2">
      <c r="A122" s="766"/>
      <c r="B122" s="767"/>
      <c r="C122" s="767"/>
      <c r="D122" s="767"/>
      <c r="E122" s="767"/>
      <c r="F122" s="767"/>
      <c r="G122" s="767"/>
    </row>
    <row r="123" spans="1:7" ht="13.5" thickBot="1" x14ac:dyDescent="0.25">
      <c r="A123" s="768"/>
      <c r="B123" s="768"/>
      <c r="C123" s="768"/>
      <c r="D123" s="768"/>
      <c r="E123" s="768"/>
      <c r="F123" s="768"/>
      <c r="G123" s="768"/>
    </row>
    <row r="124" spans="1:7" x14ac:dyDescent="0.2">
      <c r="A124" s="769" t="s">
        <v>337</v>
      </c>
      <c r="B124" s="770"/>
      <c r="C124" s="770"/>
      <c r="D124" s="770"/>
      <c r="E124" s="770"/>
      <c r="F124" s="770"/>
      <c r="G124" s="770"/>
    </row>
    <row r="125" spans="1:7" x14ac:dyDescent="0.2">
      <c r="A125" s="771"/>
      <c r="B125" s="771"/>
      <c r="C125" s="771"/>
      <c r="D125" s="771"/>
      <c r="E125" s="771"/>
      <c r="F125" s="771"/>
      <c r="G125" s="771"/>
    </row>
    <row r="141" spans="1:7" ht="28.5" customHeight="1" x14ac:dyDescent="0.35">
      <c r="A141" s="762" t="s">
        <v>311</v>
      </c>
      <c r="B141" s="762"/>
      <c r="C141" s="762"/>
      <c r="D141" s="762"/>
      <c r="E141" s="762"/>
      <c r="F141" s="762"/>
      <c r="G141" s="762"/>
    </row>
    <row r="142" spans="1:7" ht="15.75" x14ac:dyDescent="0.25">
      <c r="A142" s="787" t="s">
        <v>312</v>
      </c>
      <c r="B142" s="788"/>
      <c r="C142" s="788"/>
      <c r="D142" s="788"/>
      <c r="E142" s="788"/>
      <c r="F142" s="788"/>
      <c r="G142" s="788"/>
    </row>
    <row r="144" spans="1:7" ht="12.75" customHeight="1" x14ac:dyDescent="0.2">
      <c r="A144" s="773" t="s">
        <v>313</v>
      </c>
      <c r="B144" s="773"/>
      <c r="C144" s="773"/>
      <c r="D144" s="773"/>
      <c r="E144" s="773"/>
      <c r="F144" s="773"/>
      <c r="G144" s="773"/>
    </row>
    <row r="145" spans="1:7" x14ac:dyDescent="0.2">
      <c r="A145" s="773"/>
      <c r="B145" s="773"/>
      <c r="C145" s="773"/>
      <c r="D145" s="773"/>
      <c r="E145" s="773"/>
      <c r="F145" s="773"/>
      <c r="G145" s="773"/>
    </row>
    <row r="146" spans="1:7" x14ac:dyDescent="0.2">
      <c r="A146" s="773"/>
      <c r="B146" s="773"/>
      <c r="C146" s="773"/>
      <c r="D146" s="773"/>
      <c r="E146" s="773"/>
      <c r="F146" s="773"/>
      <c r="G146" s="773"/>
    </row>
    <row r="147" spans="1:7" ht="12.75" customHeight="1" x14ac:dyDescent="0.2">
      <c r="A147" s="772" t="s">
        <v>314</v>
      </c>
      <c r="B147" s="773"/>
      <c r="C147" s="773"/>
      <c r="D147" s="773"/>
      <c r="E147" s="773"/>
      <c r="F147" s="773"/>
      <c r="G147" s="773"/>
    </row>
    <row r="148" spans="1:7" x14ac:dyDescent="0.2">
      <c r="A148" s="773"/>
      <c r="B148" s="773"/>
      <c r="C148" s="773"/>
      <c r="D148" s="773"/>
      <c r="E148" s="773"/>
      <c r="F148" s="773"/>
      <c r="G148" s="773"/>
    </row>
    <row r="149" spans="1:7" x14ac:dyDescent="0.2">
      <c r="A149" s="773"/>
      <c r="B149" s="773"/>
      <c r="C149" s="773"/>
      <c r="D149" s="773"/>
      <c r="E149" s="773"/>
      <c r="F149" s="773"/>
      <c r="G149" s="773"/>
    </row>
    <row r="150" spans="1:7" x14ac:dyDescent="0.2">
      <c r="A150" s="773"/>
      <c r="B150" s="773"/>
      <c r="C150" s="773"/>
      <c r="D150" s="773"/>
      <c r="E150" s="773"/>
      <c r="F150" s="773"/>
      <c r="G150" s="773"/>
    </row>
    <row r="151" spans="1:7" x14ac:dyDescent="0.2">
      <c r="A151" s="773"/>
      <c r="B151" s="773"/>
      <c r="C151" s="773"/>
      <c r="D151" s="773"/>
      <c r="E151" s="773"/>
      <c r="F151" s="773"/>
      <c r="G151" s="773"/>
    </row>
    <row r="152" spans="1:7" x14ac:dyDescent="0.2">
      <c r="A152" s="773"/>
      <c r="B152" s="773"/>
      <c r="C152" s="773"/>
      <c r="D152" s="773"/>
      <c r="E152" s="773"/>
      <c r="F152" s="773"/>
      <c r="G152" s="773"/>
    </row>
    <row r="153" spans="1:7" ht="12.75" customHeight="1" x14ac:dyDescent="0.2">
      <c r="A153" s="773" t="s">
        <v>315</v>
      </c>
      <c r="B153" s="773"/>
      <c r="C153" s="773"/>
      <c r="D153" s="773"/>
      <c r="E153" s="773"/>
      <c r="F153" s="773"/>
      <c r="G153" s="773"/>
    </row>
    <row r="154" spans="1:7" ht="19.5" customHeight="1" x14ac:dyDescent="0.2">
      <c r="A154" s="773"/>
      <c r="B154" s="773"/>
      <c r="C154" s="773"/>
      <c r="D154" s="773"/>
      <c r="E154" s="773"/>
      <c r="F154" s="773"/>
      <c r="G154" s="773"/>
    </row>
    <row r="155" spans="1:7" x14ac:dyDescent="0.2">
      <c r="A155" s="340"/>
      <c r="B155" s="340"/>
      <c r="C155" s="340"/>
      <c r="D155" s="340"/>
      <c r="E155" s="340"/>
      <c r="F155" s="340"/>
      <c r="G155" s="340"/>
    </row>
    <row r="156" spans="1:7" x14ac:dyDescent="0.2">
      <c r="A156" s="308"/>
      <c r="B156" s="308"/>
      <c r="C156" s="308"/>
      <c r="D156" s="308"/>
      <c r="E156" s="308"/>
      <c r="F156" s="308"/>
      <c r="G156" s="308"/>
    </row>
    <row r="157" spans="1:7" ht="15.75" x14ac:dyDescent="0.25">
      <c r="A157" s="774" t="s">
        <v>316</v>
      </c>
      <c r="B157" s="775"/>
      <c r="C157" s="775"/>
      <c r="D157" s="775"/>
      <c r="E157" s="775"/>
      <c r="F157" s="775"/>
      <c r="G157" s="775"/>
    </row>
    <row r="158" spans="1:7" ht="13.5" thickBot="1" x14ac:dyDescent="0.25"/>
    <row r="159" spans="1:7" ht="36" thickBot="1" x14ac:dyDescent="0.25">
      <c r="A159"/>
      <c r="B159"/>
      <c r="C159" s="313"/>
      <c r="D159" s="777" t="s">
        <v>317</v>
      </c>
      <c r="E159" s="778"/>
      <c r="F159" s="309"/>
    </row>
    <row r="160" spans="1:7" ht="36" thickBot="1" x14ac:dyDescent="0.25">
      <c r="A160" s="310"/>
      <c r="C160" s="313"/>
      <c r="D160" s="777" t="s">
        <v>318</v>
      </c>
      <c r="E160" s="778"/>
      <c r="F160" s="309"/>
    </row>
    <row r="161" spans="1:7" ht="36" thickBot="1" x14ac:dyDescent="0.25">
      <c r="C161" s="313"/>
      <c r="D161" s="777" t="s">
        <v>317</v>
      </c>
      <c r="E161" s="778"/>
      <c r="F161" s="309"/>
    </row>
    <row r="163" spans="1:7" ht="15.75" x14ac:dyDescent="0.25">
      <c r="A163" s="10" t="s">
        <v>319</v>
      </c>
      <c r="B163" s="2"/>
    </row>
    <row r="164" spans="1:7" ht="25.5" customHeight="1" thickBot="1" x14ac:dyDescent="0.25">
      <c r="A164" s="776"/>
      <c r="B164" s="717"/>
      <c r="C164" s="717"/>
      <c r="D164" s="717"/>
      <c r="E164" s="717"/>
      <c r="F164" s="717"/>
      <c r="G164" s="717"/>
    </row>
    <row r="166" spans="1:7" ht="15.75" x14ac:dyDescent="0.25">
      <c r="A166" s="10" t="s">
        <v>320</v>
      </c>
      <c r="B166" s="2"/>
    </row>
    <row r="167" spans="1:7" ht="25.5" customHeight="1" thickBot="1" x14ac:dyDescent="0.25">
      <c r="A167" s="737"/>
      <c r="B167" s="717"/>
      <c r="C167" s="717"/>
      <c r="D167" s="717"/>
      <c r="E167" s="717"/>
      <c r="F167" s="717"/>
      <c r="G167" s="717"/>
    </row>
    <row r="169" spans="1:7" ht="25.5" customHeight="1" thickBot="1" x14ac:dyDescent="0.3">
      <c r="A169" s="10" t="s">
        <v>321</v>
      </c>
      <c r="B169" s="344"/>
      <c r="C169" s="345"/>
      <c r="D169" s="698"/>
      <c r="E169" s="717"/>
      <c r="F169" s="717"/>
      <c r="G169" s="717"/>
    </row>
    <row r="171" spans="1:7" ht="25.5" customHeight="1" thickBot="1" x14ac:dyDescent="0.3">
      <c r="A171" s="697" t="s">
        <v>322</v>
      </c>
      <c r="B171" s="757"/>
      <c r="C171" s="717"/>
      <c r="D171" s="717"/>
      <c r="E171" s="717"/>
      <c r="F171" s="717"/>
      <c r="G171" s="717"/>
    </row>
    <row r="173" spans="1:7" ht="25.5" customHeight="1" thickBot="1" x14ac:dyDescent="0.3">
      <c r="A173" s="697" t="s">
        <v>323</v>
      </c>
      <c r="B173" s="661"/>
      <c r="C173" s="717"/>
      <c r="D173" s="717"/>
      <c r="E173" s="717"/>
      <c r="F173" s="717"/>
      <c r="G173" s="717"/>
    </row>
    <row r="175" spans="1:7" ht="25.5" customHeight="1" thickBot="1" x14ac:dyDescent="0.3">
      <c r="A175" s="10" t="s">
        <v>324</v>
      </c>
      <c r="B175" s="348"/>
      <c r="C175" s="341"/>
      <c r="D175" s="341"/>
      <c r="E175" s="341"/>
      <c r="F175" s="10" t="s">
        <v>325</v>
      </c>
      <c r="G175" s="311"/>
    </row>
    <row r="177" spans="1:7" ht="25.5" customHeight="1" thickBot="1" x14ac:dyDescent="0.3">
      <c r="A177" s="10" t="s">
        <v>326</v>
      </c>
      <c r="B177" s="348"/>
      <c r="C177" s="341"/>
      <c r="D177" s="341"/>
      <c r="E177" s="341"/>
      <c r="F177" s="10" t="s">
        <v>327</v>
      </c>
      <c r="G177" s="311"/>
    </row>
    <row r="179" spans="1:7" ht="25.5" customHeight="1" thickBot="1" x14ac:dyDescent="0.3">
      <c r="A179" s="697" t="s">
        <v>328</v>
      </c>
      <c r="B179" s="344"/>
      <c r="C179" s="345"/>
      <c r="D179" s="346"/>
      <c r="E179" s="781"/>
      <c r="F179" s="781"/>
      <c r="G179" s="781"/>
    </row>
    <row r="181" spans="1:7" ht="12.75" customHeight="1" x14ac:dyDescent="0.2">
      <c r="A181" s="780" t="s">
        <v>329</v>
      </c>
      <c r="B181" s="759"/>
      <c r="C181" s="759"/>
      <c r="D181" s="759"/>
      <c r="E181" s="759"/>
      <c r="F181" s="759"/>
      <c r="G181" s="759"/>
    </row>
    <row r="182" spans="1:7" x14ac:dyDescent="0.2">
      <c r="A182" s="759"/>
      <c r="B182" s="759"/>
      <c r="C182" s="759"/>
      <c r="D182" s="759"/>
      <c r="E182" s="759"/>
      <c r="F182" s="759"/>
      <c r="G182" s="759"/>
    </row>
    <row r="183" spans="1:7" x14ac:dyDescent="0.2">
      <c r="A183" s="759"/>
      <c r="B183" s="759"/>
      <c r="C183" s="759"/>
      <c r="D183" s="759"/>
      <c r="E183" s="759"/>
      <c r="F183" s="759"/>
      <c r="G183" s="759"/>
    </row>
    <row r="184" spans="1:7" x14ac:dyDescent="0.2">
      <c r="A184" s="759"/>
      <c r="B184" s="759"/>
      <c r="C184" s="759"/>
      <c r="D184" s="759"/>
      <c r="E184" s="759"/>
      <c r="F184" s="759"/>
      <c r="G184" s="759"/>
    </row>
    <row r="187" spans="1:7" ht="25.5" customHeight="1" thickBot="1" x14ac:dyDescent="0.25">
      <c r="A187" s="781"/>
      <c r="B187" s="782"/>
      <c r="C187" s="782"/>
      <c r="D187" s="782"/>
      <c r="E187" s="782"/>
      <c r="F187" s="782"/>
      <c r="G187" s="782"/>
    </row>
    <row r="188" spans="1:7" ht="15" x14ac:dyDescent="0.25">
      <c r="A188" s="783" t="s">
        <v>330</v>
      </c>
      <c r="B188" s="784"/>
      <c r="C188" s="784"/>
      <c r="D188" s="784"/>
      <c r="E188" s="784"/>
      <c r="F188" s="784"/>
      <c r="G188" s="784"/>
    </row>
    <row r="189" spans="1:7" x14ac:dyDescent="0.2">
      <c r="A189" s="343"/>
      <c r="B189" s="343"/>
      <c r="C189" s="343"/>
      <c r="D189" s="343"/>
      <c r="E189" s="343"/>
      <c r="F189" s="343"/>
      <c r="G189" s="343"/>
    </row>
    <row r="190" spans="1:7" ht="15" x14ac:dyDescent="0.25">
      <c r="A190" s="785" t="s">
        <v>331</v>
      </c>
      <c r="B190" s="786"/>
      <c r="C190" s="786"/>
      <c r="D190" s="786"/>
      <c r="E190" s="786"/>
      <c r="F190" s="786"/>
      <c r="G190" s="786"/>
    </row>
    <row r="192" spans="1:7" ht="12.75" customHeight="1" x14ac:dyDescent="0.2">
      <c r="A192" s="758" t="s">
        <v>332</v>
      </c>
      <c r="B192" s="759"/>
      <c r="C192" s="759"/>
      <c r="D192" s="759"/>
      <c r="E192" s="759"/>
      <c r="F192" s="759"/>
      <c r="G192" s="759"/>
    </row>
    <row r="193" spans="1:7" ht="20.25" customHeight="1" x14ac:dyDescent="0.2">
      <c r="A193" s="759"/>
      <c r="B193" s="759"/>
      <c r="C193" s="759"/>
      <c r="D193" s="759"/>
      <c r="E193" s="759"/>
      <c r="F193" s="759"/>
      <c r="G193" s="759"/>
    </row>
    <row r="195" spans="1:7" ht="12.75" customHeight="1" x14ac:dyDescent="0.2">
      <c r="A195" s="342"/>
      <c r="B195" s="343"/>
      <c r="C195" s="343"/>
      <c r="D195" s="343"/>
      <c r="E195" s="343"/>
      <c r="F195" s="343"/>
      <c r="G195" s="343"/>
    </row>
    <row r="196" spans="1:7" x14ac:dyDescent="0.2">
      <c r="A196" s="343"/>
      <c r="B196" s="343"/>
      <c r="C196" s="343"/>
      <c r="D196" s="343"/>
      <c r="E196" s="343"/>
      <c r="F196" s="343"/>
      <c r="G196" s="343"/>
    </row>
    <row r="197" spans="1:7" x14ac:dyDescent="0.2">
      <c r="A197" s="343"/>
      <c r="B197" s="343"/>
      <c r="C197" s="343"/>
      <c r="D197" s="343"/>
      <c r="E197" s="343"/>
      <c r="F197" s="343"/>
      <c r="G197" s="343"/>
    </row>
    <row r="198" spans="1:7" x14ac:dyDescent="0.2">
      <c r="A198" s="760" t="s">
        <v>333</v>
      </c>
      <c r="B198" s="761"/>
      <c r="C198" s="761"/>
      <c r="D198" s="761"/>
      <c r="E198" s="761"/>
      <c r="F198" s="761"/>
      <c r="G198" s="761"/>
    </row>
    <row r="199" spans="1:7" x14ac:dyDescent="0.2">
      <c r="A199" s="761"/>
      <c r="B199" s="761"/>
      <c r="C199" s="761"/>
      <c r="D199" s="761"/>
      <c r="E199" s="761"/>
      <c r="F199" s="761"/>
      <c r="G199" s="761"/>
    </row>
    <row r="200" spans="1:7" x14ac:dyDescent="0.2">
      <c r="A200" s="761"/>
      <c r="B200" s="761"/>
      <c r="C200" s="761"/>
      <c r="D200" s="761"/>
      <c r="E200" s="761"/>
      <c r="F200" s="761"/>
      <c r="G200" s="761"/>
    </row>
    <row r="201" spans="1:7" x14ac:dyDescent="0.2">
      <c r="A201" s="761"/>
      <c r="B201" s="761"/>
      <c r="C201" s="761"/>
      <c r="D201" s="761"/>
      <c r="E201" s="761"/>
      <c r="F201" s="761"/>
      <c r="G201" s="761"/>
    </row>
    <row r="202" spans="1:7" x14ac:dyDescent="0.2">
      <c r="A202" s="761"/>
      <c r="B202" s="761"/>
      <c r="C202" s="761"/>
      <c r="D202" s="761"/>
      <c r="E202" s="761"/>
      <c r="F202" s="761"/>
      <c r="G202" s="761"/>
    </row>
    <row r="203" spans="1:7" x14ac:dyDescent="0.2">
      <c r="A203" s="312"/>
      <c r="B203" s="343"/>
      <c r="C203" s="343"/>
      <c r="D203" s="343"/>
      <c r="E203" s="343"/>
      <c r="F203" s="343"/>
      <c r="G203" s="343"/>
    </row>
    <row r="204" spans="1:7" ht="12.75" customHeight="1" x14ac:dyDescent="0.2">
      <c r="A204" s="789" t="s">
        <v>1171</v>
      </c>
      <c r="B204" s="765"/>
      <c r="C204" s="765"/>
      <c r="D204" s="765"/>
      <c r="E204" s="765"/>
      <c r="F204" s="765"/>
      <c r="G204" s="765"/>
    </row>
    <row r="205" spans="1:7" x14ac:dyDescent="0.2">
      <c r="A205" s="765"/>
      <c r="B205" s="765"/>
      <c r="C205" s="765"/>
      <c r="D205" s="765"/>
      <c r="E205" s="765"/>
      <c r="F205" s="765"/>
      <c r="G205" s="765"/>
    </row>
    <row r="206" spans="1:7" x14ac:dyDescent="0.2">
      <c r="A206" s="765"/>
      <c r="B206" s="765"/>
      <c r="C206" s="765"/>
      <c r="D206" s="765"/>
      <c r="E206" s="765"/>
      <c r="F206" s="765"/>
      <c r="G206" s="765"/>
    </row>
    <row r="207" spans="1:7" ht="25.5" customHeight="1" thickBot="1" x14ac:dyDescent="0.25">
      <c r="A207" s="764" t="s">
        <v>334</v>
      </c>
      <c r="B207" s="765"/>
      <c r="C207" s="765"/>
      <c r="D207" s="765"/>
      <c r="E207" s="779"/>
      <c r="F207" s="779"/>
      <c r="G207" s="779"/>
    </row>
    <row r="208" spans="1:7" ht="25.5" customHeight="1" thickBot="1" x14ac:dyDescent="0.25">
      <c r="A208" s="764" t="s">
        <v>335</v>
      </c>
      <c r="B208" s="765"/>
      <c r="C208" s="765"/>
      <c r="D208" s="765"/>
      <c r="E208" s="779"/>
      <c r="F208" s="779"/>
      <c r="G208" s="779"/>
    </row>
    <row r="209" spans="1:7" ht="25.5" customHeight="1" thickBot="1" x14ac:dyDescent="0.25">
      <c r="A209" s="764" t="s">
        <v>336</v>
      </c>
      <c r="B209" s="765"/>
      <c r="C209" s="765"/>
      <c r="D209" s="765"/>
      <c r="E209" s="779"/>
      <c r="F209" s="779"/>
      <c r="G209" s="779"/>
    </row>
    <row r="217" spans="1:7" ht="13.5" thickBot="1" x14ac:dyDescent="0.25"/>
    <row r="218" spans="1:7" ht="24" thickBot="1" x14ac:dyDescent="0.4">
      <c r="A218" s="742" t="s">
        <v>536</v>
      </c>
      <c r="B218" s="743"/>
      <c r="C218" s="743"/>
      <c r="D218" s="743"/>
      <c r="E218" s="743"/>
      <c r="F218" s="743"/>
      <c r="G218" s="744"/>
    </row>
    <row r="219" spans="1:7" ht="25.5" customHeight="1" thickBot="1" x14ac:dyDescent="0.25">
      <c r="A219" s="729" t="s">
        <v>568</v>
      </c>
      <c r="B219" s="730"/>
      <c r="C219" s="731"/>
      <c r="D219" s="732"/>
      <c r="E219" s="732"/>
      <c r="F219" s="732"/>
      <c r="G219" s="733"/>
    </row>
    <row r="220" spans="1:7" ht="25.5" customHeight="1" thickBot="1" x14ac:dyDescent="0.25">
      <c r="A220" s="734" t="s">
        <v>569</v>
      </c>
      <c r="B220" s="735"/>
      <c r="C220" s="736"/>
      <c r="D220" s="737"/>
      <c r="E220" s="737"/>
      <c r="F220" s="737"/>
      <c r="G220" s="738"/>
    </row>
    <row r="221" spans="1:7" ht="12.75" customHeight="1" thickBot="1" x14ac:dyDescent="0.25">
      <c r="A221" s="359"/>
      <c r="B221" s="360"/>
      <c r="C221" s="360"/>
      <c r="D221" s="352"/>
      <c r="E221" s="352"/>
      <c r="F221" s="352"/>
      <c r="G221" s="355"/>
    </row>
    <row r="222" spans="1:7" ht="12.75" customHeight="1" thickBot="1" x14ac:dyDescent="0.25">
      <c r="A222" s="344"/>
      <c r="B222" s="344"/>
      <c r="C222" s="344"/>
      <c r="D222" s="347"/>
      <c r="E222" s="347"/>
      <c r="F222" s="347"/>
      <c r="G222" s="347"/>
    </row>
    <row r="223" spans="1:7" ht="16.5" thickBot="1" x14ac:dyDescent="0.3">
      <c r="A223" s="739" t="s">
        <v>538</v>
      </c>
      <c r="B223" s="740"/>
      <c r="C223" s="741"/>
      <c r="D223" s="351"/>
      <c r="E223" s="352"/>
      <c r="F223" s="352"/>
      <c r="G223" s="352"/>
    </row>
    <row r="224" spans="1:7" ht="25.5" customHeight="1" thickBot="1" x14ac:dyDescent="0.25">
      <c r="A224" s="729" t="s">
        <v>373</v>
      </c>
      <c r="B224" s="730"/>
      <c r="C224" s="731"/>
      <c r="D224" s="737"/>
      <c r="E224" s="737"/>
      <c r="F224" s="737"/>
      <c r="G224" s="738"/>
    </row>
    <row r="225" spans="1:7" ht="25.5" customHeight="1" thickBot="1" x14ac:dyDescent="0.25">
      <c r="A225" s="734" t="s">
        <v>535</v>
      </c>
      <c r="B225" s="735"/>
      <c r="C225" s="736"/>
      <c r="D225" s="737"/>
      <c r="E225" s="737"/>
      <c r="F225" s="737"/>
      <c r="G225" s="738"/>
    </row>
    <row r="226" spans="1:7" ht="12.75" customHeight="1" thickBot="1" x14ac:dyDescent="0.25">
      <c r="A226" s="353"/>
      <c r="B226" s="354"/>
      <c r="C226" s="354"/>
      <c r="D226" s="352"/>
      <c r="E226" s="352"/>
      <c r="F226" s="352"/>
      <c r="G226" s="355"/>
    </row>
    <row r="227" spans="1:7" ht="12.75" customHeight="1" thickBot="1" x14ac:dyDescent="0.25">
      <c r="A227" s="344"/>
      <c r="B227" s="344"/>
      <c r="C227" s="344"/>
      <c r="D227" s="347"/>
      <c r="E227" s="347"/>
      <c r="F227" s="347"/>
      <c r="G227" s="347"/>
    </row>
    <row r="228" spans="1:7" ht="16.5" thickBot="1" x14ac:dyDescent="0.3">
      <c r="A228" s="739" t="s">
        <v>537</v>
      </c>
      <c r="B228" s="740"/>
      <c r="C228" s="741"/>
      <c r="D228" s="351"/>
      <c r="E228" s="352"/>
      <c r="F228" s="352"/>
      <c r="G228" s="352"/>
    </row>
    <row r="229" spans="1:7" ht="25.5" customHeight="1" thickBot="1" x14ac:dyDescent="0.25">
      <c r="A229" s="729" t="s">
        <v>521</v>
      </c>
      <c r="B229" s="730"/>
      <c r="C229" s="731"/>
      <c r="D229" s="737"/>
      <c r="E229" s="737"/>
      <c r="F229" s="737"/>
      <c r="G229" s="738"/>
    </row>
    <row r="230" spans="1:7" ht="25.5" customHeight="1" thickBot="1" x14ac:dyDescent="0.25">
      <c r="A230" s="734" t="s">
        <v>522</v>
      </c>
      <c r="B230" s="735"/>
      <c r="C230" s="736"/>
      <c r="D230" s="737"/>
      <c r="E230" s="737"/>
      <c r="F230" s="737"/>
      <c r="G230" s="738"/>
    </row>
    <row r="231" spans="1:7" ht="25.5" customHeight="1" thickBot="1" x14ac:dyDescent="0.25">
      <c r="A231" s="734" t="s">
        <v>523</v>
      </c>
      <c r="B231" s="735"/>
      <c r="C231" s="736"/>
      <c r="D231" s="737"/>
      <c r="E231" s="737"/>
      <c r="F231" s="737"/>
      <c r="G231" s="738"/>
    </row>
    <row r="232" spans="1:7" ht="25.5" customHeight="1" thickBot="1" x14ac:dyDescent="0.25">
      <c r="A232" s="734" t="s">
        <v>524</v>
      </c>
      <c r="B232" s="735"/>
      <c r="C232" s="736"/>
      <c r="D232" s="737"/>
      <c r="E232" s="737"/>
      <c r="F232" s="737"/>
      <c r="G232" s="738"/>
    </row>
    <row r="233" spans="1:7" ht="25.5" customHeight="1" thickBot="1" x14ac:dyDescent="0.25">
      <c r="A233" s="734" t="s">
        <v>525</v>
      </c>
      <c r="B233" s="735"/>
      <c r="C233" s="736"/>
      <c r="D233" s="737"/>
      <c r="E233" s="737"/>
      <c r="F233" s="737"/>
      <c r="G233" s="738"/>
    </row>
    <row r="234" spans="1:7" ht="25.5" customHeight="1" thickBot="1" x14ac:dyDescent="0.25">
      <c r="A234" s="734" t="s">
        <v>526</v>
      </c>
      <c r="B234" s="735"/>
      <c r="C234" s="736"/>
      <c r="D234" s="737"/>
      <c r="E234" s="737"/>
      <c r="F234" s="737"/>
      <c r="G234" s="738"/>
    </row>
    <row r="235" spans="1:7" ht="25.5" customHeight="1" thickBot="1" x14ac:dyDescent="0.25">
      <c r="A235" s="734" t="s">
        <v>527</v>
      </c>
      <c r="B235" s="735"/>
      <c r="C235" s="736"/>
      <c r="D235" s="737"/>
      <c r="E235" s="737"/>
      <c r="F235" s="737"/>
      <c r="G235" s="738"/>
    </row>
    <row r="236" spans="1:7" ht="25.5" customHeight="1" thickBot="1" x14ac:dyDescent="0.25">
      <c r="A236" s="734" t="s">
        <v>533</v>
      </c>
      <c r="B236" s="735"/>
      <c r="C236" s="736"/>
      <c r="D236" s="737"/>
      <c r="E236" s="737"/>
      <c r="F236" s="737"/>
      <c r="G236" s="738"/>
    </row>
    <row r="237" spans="1:7" ht="25.5" customHeight="1" thickBot="1" x14ac:dyDescent="0.25">
      <c r="A237" s="734" t="s">
        <v>1173</v>
      </c>
      <c r="B237" s="735"/>
      <c r="C237" s="736"/>
      <c r="D237" s="737"/>
      <c r="E237" s="737"/>
      <c r="F237" s="737"/>
      <c r="G237" s="738"/>
    </row>
    <row r="238" spans="1:7" ht="25.5" customHeight="1" thickBot="1" x14ac:dyDescent="0.25">
      <c r="A238" s="734" t="s">
        <v>1174</v>
      </c>
      <c r="B238" s="735"/>
      <c r="C238" s="736"/>
      <c r="D238" s="737"/>
      <c r="E238" s="737"/>
      <c r="F238" s="737"/>
      <c r="G238" s="738"/>
    </row>
    <row r="239" spans="1:7" ht="25.5" customHeight="1" thickBot="1" x14ac:dyDescent="0.25">
      <c r="A239" s="734" t="s">
        <v>1175</v>
      </c>
      <c r="B239" s="735"/>
      <c r="C239" s="736"/>
      <c r="D239" s="737"/>
      <c r="E239" s="737"/>
      <c r="F239" s="737"/>
      <c r="G239" s="738"/>
    </row>
    <row r="240" spans="1:7" ht="25.5" customHeight="1" thickBot="1" x14ac:dyDescent="0.25">
      <c r="A240" s="734" t="s">
        <v>1176</v>
      </c>
      <c r="B240" s="735"/>
      <c r="C240" s="736"/>
      <c r="D240" s="737"/>
      <c r="E240" s="737"/>
      <c r="F240" s="737"/>
      <c r="G240" s="738"/>
    </row>
    <row r="241" spans="1:7" ht="25.5" customHeight="1" thickBot="1" x14ac:dyDescent="0.25">
      <c r="A241" s="734" t="s">
        <v>1177</v>
      </c>
      <c r="B241" s="735"/>
      <c r="C241" s="736"/>
      <c r="D241" s="737"/>
      <c r="E241" s="737"/>
      <c r="F241" s="737"/>
      <c r="G241" s="738"/>
    </row>
    <row r="242" spans="1:7" ht="25.5" customHeight="1" thickBot="1" x14ac:dyDescent="0.25">
      <c r="A242" s="734" t="s">
        <v>1178</v>
      </c>
      <c r="B242" s="735"/>
      <c r="C242" s="736"/>
      <c r="D242" s="737"/>
      <c r="E242" s="737"/>
      <c r="F242" s="737"/>
      <c r="G242" s="738"/>
    </row>
    <row r="243" spans="1:7" ht="25.5" customHeight="1" thickBot="1" x14ac:dyDescent="0.25">
      <c r="A243" s="734" t="s">
        <v>1179</v>
      </c>
      <c r="B243" s="735"/>
      <c r="C243" s="736"/>
      <c r="D243" s="737"/>
      <c r="E243" s="737"/>
      <c r="F243" s="737"/>
      <c r="G243" s="738"/>
    </row>
    <row r="244" spans="1:7" ht="12.75" customHeight="1" thickBot="1" x14ac:dyDescent="0.25">
      <c r="A244" s="353"/>
      <c r="B244" s="354"/>
      <c r="C244" s="354"/>
      <c r="D244" s="352"/>
      <c r="E244" s="352"/>
      <c r="F244" s="352"/>
      <c r="G244" s="355"/>
    </row>
    <row r="245" spans="1:7" ht="12.75" customHeight="1" thickBot="1" x14ac:dyDescent="0.25">
      <c r="A245" s="350"/>
      <c r="B245" s="350"/>
      <c r="C245" s="350"/>
      <c r="D245" s="347"/>
      <c r="E245" s="347"/>
      <c r="F245" s="347"/>
      <c r="G245" s="347"/>
    </row>
    <row r="246" spans="1:7" ht="16.5" thickBot="1" x14ac:dyDescent="0.3">
      <c r="A246" s="739" t="s">
        <v>539</v>
      </c>
      <c r="B246" s="740"/>
      <c r="C246" s="741"/>
      <c r="D246" s="351"/>
      <c r="E246" s="352"/>
      <c r="F246" s="352"/>
      <c r="G246" s="352"/>
    </row>
    <row r="247" spans="1:7" ht="25.5" customHeight="1" thickBot="1" x14ac:dyDescent="0.25">
      <c r="A247" s="729" t="s">
        <v>403</v>
      </c>
      <c r="B247" s="730"/>
      <c r="C247" s="731"/>
      <c r="D247" s="737"/>
      <c r="E247" s="737"/>
      <c r="F247" s="737"/>
      <c r="G247" s="738"/>
    </row>
    <row r="248" spans="1:7" ht="25.5" customHeight="1" thickBot="1" x14ac:dyDescent="0.25">
      <c r="A248" s="734" t="s">
        <v>569</v>
      </c>
      <c r="B248" s="735"/>
      <c r="C248" s="736"/>
      <c r="D248" s="737"/>
      <c r="E248" s="737"/>
      <c r="F248" s="737"/>
      <c r="G248" s="738"/>
    </row>
    <row r="249" spans="1:7" ht="12.75" customHeight="1" thickBot="1" x14ac:dyDescent="0.25">
      <c r="A249" s="353"/>
      <c r="B249" s="354"/>
      <c r="C249" s="354"/>
      <c r="D249" s="352"/>
      <c r="E249" s="352"/>
      <c r="F249" s="352"/>
      <c r="G249" s="355"/>
    </row>
    <row r="250" spans="1:7" ht="12.75" customHeight="1" thickBot="1" x14ac:dyDescent="0.25">
      <c r="A250" s="344"/>
      <c r="B250" s="344"/>
      <c r="C250" s="344"/>
      <c r="D250" s="347"/>
      <c r="E250" s="347"/>
      <c r="F250" s="347"/>
      <c r="G250" s="347"/>
    </row>
    <row r="251" spans="1:7" ht="16.5" thickBot="1" x14ac:dyDescent="0.3">
      <c r="A251" s="739" t="s">
        <v>540</v>
      </c>
      <c r="B251" s="740"/>
      <c r="C251" s="741"/>
      <c r="D251" s="351"/>
      <c r="E251" s="352"/>
      <c r="F251" s="352"/>
      <c r="G251" s="352"/>
    </row>
    <row r="252" spans="1:7" ht="25.5" customHeight="1" thickBot="1" x14ac:dyDescent="0.25">
      <c r="A252" s="729" t="s">
        <v>373</v>
      </c>
      <c r="B252" s="730"/>
      <c r="C252" s="731"/>
      <c r="D252" s="732"/>
      <c r="E252" s="732"/>
      <c r="F252" s="732"/>
      <c r="G252" s="733"/>
    </row>
    <row r="253" spans="1:7" ht="25.5" customHeight="1" thickBot="1" x14ac:dyDescent="0.25">
      <c r="A253" s="734" t="s">
        <v>535</v>
      </c>
      <c r="B253" s="735"/>
      <c r="C253" s="736"/>
      <c r="D253" s="737"/>
      <c r="E253" s="737"/>
      <c r="F253" s="737"/>
      <c r="G253" s="738"/>
    </row>
    <row r="254" spans="1:7" ht="12.75" customHeight="1" thickBot="1" x14ac:dyDescent="0.25">
      <c r="A254" s="353"/>
      <c r="B254" s="354"/>
      <c r="C254" s="354"/>
      <c r="D254" s="352"/>
      <c r="E254" s="352"/>
      <c r="F254" s="352"/>
      <c r="G254" s="355"/>
    </row>
    <row r="255" spans="1:7" ht="12.75" customHeight="1" thickBot="1" x14ac:dyDescent="0.25">
      <c r="A255" s="344"/>
      <c r="B255" s="344"/>
      <c r="C255" s="344"/>
      <c r="D255" s="347"/>
      <c r="E255" s="347"/>
      <c r="F255" s="347"/>
      <c r="G255" s="347"/>
    </row>
    <row r="256" spans="1:7" ht="16.5" thickBot="1" x14ac:dyDescent="0.3">
      <c r="A256" s="739" t="s">
        <v>541</v>
      </c>
      <c r="B256" s="740"/>
      <c r="C256" s="741"/>
      <c r="D256" s="351"/>
      <c r="E256" s="352"/>
      <c r="F256" s="352"/>
      <c r="G256" s="352"/>
    </row>
    <row r="257" spans="1:7" ht="25.5" customHeight="1" thickBot="1" x14ac:dyDescent="0.25">
      <c r="A257" s="729" t="s">
        <v>521</v>
      </c>
      <c r="B257" s="730"/>
      <c r="C257" s="731"/>
      <c r="D257" s="737"/>
      <c r="E257" s="737"/>
      <c r="F257" s="737"/>
      <c r="G257" s="738"/>
    </row>
    <row r="258" spans="1:7" ht="25.5" customHeight="1" thickBot="1" x14ac:dyDescent="0.25">
      <c r="A258" s="734" t="s">
        <v>522</v>
      </c>
      <c r="B258" s="735"/>
      <c r="C258" s="736"/>
      <c r="D258" s="737"/>
      <c r="E258" s="737"/>
      <c r="F258" s="737"/>
      <c r="G258" s="738"/>
    </row>
    <row r="259" spans="1:7" ht="25.5" customHeight="1" thickBot="1" x14ac:dyDescent="0.25">
      <c r="A259" s="734" t="s">
        <v>523</v>
      </c>
      <c r="B259" s="735"/>
      <c r="C259" s="736"/>
      <c r="D259" s="737"/>
      <c r="E259" s="737"/>
      <c r="F259" s="737"/>
      <c r="G259" s="738"/>
    </row>
    <row r="260" spans="1:7" ht="25.5" customHeight="1" thickBot="1" x14ac:dyDescent="0.25">
      <c r="A260" s="734" t="s">
        <v>524</v>
      </c>
      <c r="B260" s="735"/>
      <c r="C260" s="736"/>
      <c r="D260" s="737"/>
      <c r="E260" s="737"/>
      <c r="F260" s="737"/>
      <c r="G260" s="738"/>
    </row>
    <row r="261" spans="1:7" ht="25.5" customHeight="1" thickBot="1" x14ac:dyDescent="0.25">
      <c r="A261" s="734" t="s">
        <v>525</v>
      </c>
      <c r="B261" s="735"/>
      <c r="C261" s="736"/>
      <c r="D261" s="737"/>
      <c r="E261" s="737"/>
      <c r="F261" s="737"/>
      <c r="G261" s="738"/>
    </row>
    <row r="262" spans="1:7" ht="25.5" customHeight="1" thickBot="1" x14ac:dyDescent="0.25">
      <c r="A262" s="734" t="s">
        <v>526</v>
      </c>
      <c r="B262" s="735"/>
      <c r="C262" s="736"/>
      <c r="D262" s="737"/>
      <c r="E262" s="737"/>
      <c r="F262" s="737"/>
      <c r="G262" s="738"/>
    </row>
    <row r="263" spans="1:7" ht="25.5" customHeight="1" thickBot="1" x14ac:dyDescent="0.25">
      <c r="A263" s="734" t="s">
        <v>527</v>
      </c>
      <c r="B263" s="735"/>
      <c r="C263" s="736"/>
      <c r="D263" s="737"/>
      <c r="E263" s="737"/>
      <c r="F263" s="737"/>
      <c r="G263" s="738"/>
    </row>
    <row r="264" spans="1:7" ht="25.5" customHeight="1" thickBot="1" x14ac:dyDescent="0.25">
      <c r="A264" s="734" t="s">
        <v>533</v>
      </c>
      <c r="B264" s="735"/>
      <c r="C264" s="736"/>
      <c r="D264" s="737"/>
      <c r="E264" s="737"/>
      <c r="F264" s="737"/>
      <c r="G264" s="738"/>
    </row>
    <row r="265" spans="1:7" ht="25.5" customHeight="1" thickBot="1" x14ac:dyDescent="0.25">
      <c r="A265" s="734" t="s">
        <v>528</v>
      </c>
      <c r="B265" s="735"/>
      <c r="C265" s="736"/>
      <c r="D265" s="737"/>
      <c r="E265" s="737"/>
      <c r="F265" s="737"/>
      <c r="G265" s="738"/>
    </row>
    <row r="266" spans="1:7" ht="25.5" customHeight="1" thickBot="1" x14ac:dyDescent="0.25">
      <c r="A266" s="734" t="s">
        <v>529</v>
      </c>
      <c r="B266" s="735"/>
      <c r="C266" s="736"/>
      <c r="D266" s="737"/>
      <c r="E266" s="737"/>
      <c r="F266" s="737"/>
      <c r="G266" s="738"/>
    </row>
    <row r="267" spans="1:7" ht="25.5" customHeight="1" thickBot="1" x14ac:dyDescent="0.25">
      <c r="A267" s="734" t="s">
        <v>530</v>
      </c>
      <c r="B267" s="735"/>
      <c r="C267" s="736"/>
      <c r="D267" s="737"/>
      <c r="E267" s="737"/>
      <c r="F267" s="737"/>
      <c r="G267" s="738"/>
    </row>
    <row r="268" spans="1:7" ht="25.5" customHeight="1" thickBot="1" x14ac:dyDescent="0.25">
      <c r="A268" s="734" t="s">
        <v>531</v>
      </c>
      <c r="B268" s="735"/>
      <c r="C268" s="736"/>
      <c r="D268" s="737"/>
      <c r="E268" s="737"/>
      <c r="F268" s="737"/>
      <c r="G268" s="738"/>
    </row>
    <row r="269" spans="1:7" ht="25.5" customHeight="1" thickBot="1" x14ac:dyDescent="0.25">
      <c r="A269" s="734" t="s">
        <v>532</v>
      </c>
      <c r="B269" s="735"/>
      <c r="C269" s="736"/>
      <c r="D269" s="737"/>
      <c r="E269" s="737"/>
      <c r="F269" s="737"/>
      <c r="G269" s="738"/>
    </row>
    <row r="270" spans="1:7" ht="13.5" thickBot="1" x14ac:dyDescent="0.25">
      <c r="A270" s="356"/>
      <c r="B270" s="357"/>
      <c r="C270" s="357"/>
      <c r="D270" s="357"/>
      <c r="E270" s="357"/>
      <c r="F270" s="357"/>
      <c r="G270" s="358"/>
    </row>
  </sheetData>
  <sheetProtection algorithmName="SHA-512" hashValue="cQsCFVa+ikwAzt7SvEuL3GHYsVQ53SbrvNNSwanFZj8oaEpzlURomdTfOCfDlfT46Nu+bVZNZ/HAMjzhlrYtAQ==" saltValue="5CRn6Qt/2LakNjRn5Odjew==" spinCount="100000" sheet="1" objects="1" scenarios="1" selectLockedCells="1" selectUnlockedCells="1"/>
  <mergeCells count="166">
    <mergeCell ref="A209:D209"/>
    <mergeCell ref="A122:G123"/>
    <mergeCell ref="A124:G125"/>
    <mergeCell ref="A147:G152"/>
    <mergeCell ref="A153:G154"/>
    <mergeCell ref="A157:G157"/>
    <mergeCell ref="A164:G164"/>
    <mergeCell ref="A167:G167"/>
    <mergeCell ref="D159:E159"/>
    <mergeCell ref="D160:E160"/>
    <mergeCell ref="D161:E161"/>
    <mergeCell ref="E209:G209"/>
    <mergeCell ref="A181:G184"/>
    <mergeCell ref="A187:G187"/>
    <mergeCell ref="A188:G188"/>
    <mergeCell ref="A190:G190"/>
    <mergeCell ref="A142:G142"/>
    <mergeCell ref="A144:G146"/>
    <mergeCell ref="A208:D208"/>
    <mergeCell ref="E208:G208"/>
    <mergeCell ref="E179:G179"/>
    <mergeCell ref="A204:G206"/>
    <mergeCell ref="A207:D207"/>
    <mergeCell ref="E207:G207"/>
    <mergeCell ref="A117:B117"/>
    <mergeCell ref="A118:B118"/>
    <mergeCell ref="A119:B119"/>
    <mergeCell ref="A120:B120"/>
    <mergeCell ref="C107:D107"/>
    <mergeCell ref="C108:D108"/>
    <mergeCell ref="B171:G171"/>
    <mergeCell ref="A192:G193"/>
    <mergeCell ref="A198:G202"/>
    <mergeCell ref="C114:D114"/>
    <mergeCell ref="C115:D115"/>
    <mergeCell ref="C116:D116"/>
    <mergeCell ref="C117:D117"/>
    <mergeCell ref="A113:B113"/>
    <mergeCell ref="A114:B114"/>
    <mergeCell ref="A115:B115"/>
    <mergeCell ref="A116:B116"/>
    <mergeCell ref="A141:G141"/>
    <mergeCell ref="C118:D118"/>
    <mergeCell ref="C119:D119"/>
    <mergeCell ref="C120:D120"/>
    <mergeCell ref="A101:G101"/>
    <mergeCell ref="E107:F107"/>
    <mergeCell ref="E108:F108"/>
    <mergeCell ref="E109:F109"/>
    <mergeCell ref="E110:F110"/>
    <mergeCell ref="E111:F111"/>
    <mergeCell ref="E112:F112"/>
    <mergeCell ref="C104:D104"/>
    <mergeCell ref="C105:D105"/>
    <mergeCell ref="C106:D106"/>
    <mergeCell ref="A102:B103"/>
    <mergeCell ref="C102:D102"/>
    <mergeCell ref="E102:G102"/>
    <mergeCell ref="A107:B107"/>
    <mergeCell ref="A108:B108"/>
    <mergeCell ref="A109:B109"/>
    <mergeCell ref="A110:B110"/>
    <mergeCell ref="A111:B111"/>
    <mergeCell ref="A112:B112"/>
    <mergeCell ref="A224:C224"/>
    <mergeCell ref="D224:G224"/>
    <mergeCell ref="A225:C225"/>
    <mergeCell ref="D225:G225"/>
    <mergeCell ref="A218:G218"/>
    <mergeCell ref="A219:C219"/>
    <mergeCell ref="D219:G219"/>
    <mergeCell ref="A220:C220"/>
    <mergeCell ref="D220:G220"/>
    <mergeCell ref="A223:C223"/>
    <mergeCell ref="A231:C231"/>
    <mergeCell ref="D231:G231"/>
    <mergeCell ref="A232:C232"/>
    <mergeCell ref="D232:G232"/>
    <mergeCell ref="A233:C233"/>
    <mergeCell ref="D233:G233"/>
    <mergeCell ref="A228:C228"/>
    <mergeCell ref="A229:C229"/>
    <mergeCell ref="D229:G229"/>
    <mergeCell ref="A230:C230"/>
    <mergeCell ref="D230:G230"/>
    <mergeCell ref="A237:C237"/>
    <mergeCell ref="D237:G237"/>
    <mergeCell ref="A238:C238"/>
    <mergeCell ref="D238:G238"/>
    <mergeCell ref="A239:C239"/>
    <mergeCell ref="D239:G239"/>
    <mergeCell ref="A234:C234"/>
    <mergeCell ref="D234:G234"/>
    <mergeCell ref="A235:C235"/>
    <mergeCell ref="D235:G235"/>
    <mergeCell ref="A236:C236"/>
    <mergeCell ref="D236:G236"/>
    <mergeCell ref="A269:C269"/>
    <mergeCell ref="D269:G269"/>
    <mergeCell ref="A264:C264"/>
    <mergeCell ref="D264:G264"/>
    <mergeCell ref="A265:C265"/>
    <mergeCell ref="D265:G265"/>
    <mergeCell ref="A266:C266"/>
    <mergeCell ref="D266:G266"/>
    <mergeCell ref="A261:C261"/>
    <mergeCell ref="D261:G261"/>
    <mergeCell ref="A262:C262"/>
    <mergeCell ref="D262:G262"/>
    <mergeCell ref="A263:C263"/>
    <mergeCell ref="D263:G263"/>
    <mergeCell ref="A267:C267"/>
    <mergeCell ref="D267:G267"/>
    <mergeCell ref="A268:C268"/>
    <mergeCell ref="D268:G268"/>
    <mergeCell ref="A258:C258"/>
    <mergeCell ref="D258:G258"/>
    <mergeCell ref="A259:C259"/>
    <mergeCell ref="D259:G259"/>
    <mergeCell ref="A260:C260"/>
    <mergeCell ref="D260:G260"/>
    <mergeCell ref="A253:C253"/>
    <mergeCell ref="D253:G253"/>
    <mergeCell ref="A256:C256"/>
    <mergeCell ref="A257:C257"/>
    <mergeCell ref="D257:G257"/>
    <mergeCell ref="A252:C252"/>
    <mergeCell ref="D252:G252"/>
    <mergeCell ref="A243:C243"/>
    <mergeCell ref="D243:G243"/>
    <mergeCell ref="A246:C246"/>
    <mergeCell ref="A247:C247"/>
    <mergeCell ref="D247:G247"/>
    <mergeCell ref="A240:C240"/>
    <mergeCell ref="D240:G240"/>
    <mergeCell ref="A251:C251"/>
    <mergeCell ref="A241:C241"/>
    <mergeCell ref="D241:G241"/>
    <mergeCell ref="A242:C242"/>
    <mergeCell ref="D242:G242"/>
    <mergeCell ref="A248:C248"/>
    <mergeCell ref="D248:G248"/>
    <mergeCell ref="E16:G16"/>
    <mergeCell ref="E169:G169"/>
    <mergeCell ref="C173:G173"/>
    <mergeCell ref="A104:B104"/>
    <mergeCell ref="A105:B105"/>
    <mergeCell ref="A106:B106"/>
    <mergeCell ref="E120:F120"/>
    <mergeCell ref="C103:D103"/>
    <mergeCell ref="E103:F103"/>
    <mergeCell ref="E104:F104"/>
    <mergeCell ref="E105:F105"/>
    <mergeCell ref="E106:F106"/>
    <mergeCell ref="E117:F117"/>
    <mergeCell ref="E118:F118"/>
    <mergeCell ref="E119:F119"/>
    <mergeCell ref="E113:F113"/>
    <mergeCell ref="E114:F114"/>
    <mergeCell ref="E115:F115"/>
    <mergeCell ref="E116:F116"/>
    <mergeCell ref="C109:D109"/>
    <mergeCell ref="C110:D110"/>
    <mergeCell ref="C111:D111"/>
    <mergeCell ref="C112:D112"/>
    <mergeCell ref="C113:D113"/>
  </mergeCells>
  <printOptions horizontalCentered="1"/>
  <pageMargins left="0.78749999999999998" right="0.78749999999999998" top="1.05277777777778" bottom="1.05277777777778" header="0.78749999999999998" footer="0.78749999999999998"/>
  <pageSetup scale="51" firstPageNumber="0" orientation="portrait" horizontalDpi="300" verticalDpi="300" r:id="rId1"/>
  <headerFooter>
    <oddFooter>&amp;C&amp;12proposal valid for 15 days</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3:G270"/>
  <sheetViews>
    <sheetView zoomScaleNormal="100" zoomScalePageLayoutView="150" workbookViewId="0"/>
  </sheetViews>
  <sheetFormatPr defaultColWidth="11.42578125" defaultRowHeight="12.75" x14ac:dyDescent="0.2"/>
  <cols>
    <col min="1" max="1" width="15.7109375" style="3" customWidth="1"/>
    <col min="2" max="2" width="9.7109375" style="3" customWidth="1"/>
    <col min="3" max="3" width="12.42578125" style="3" customWidth="1"/>
    <col min="4" max="4" width="12.7109375" style="3" bestFit="1" customWidth="1"/>
    <col min="5" max="5" width="13.7109375" style="3" bestFit="1" customWidth="1"/>
    <col min="6" max="6" width="12.7109375" style="3" customWidth="1"/>
    <col min="7" max="7" width="86.42578125" style="3" bestFit="1" customWidth="1"/>
    <col min="8" max="16384" width="11.42578125" style="3"/>
  </cols>
  <sheetData>
    <row r="3" spans="1:7" ht="23.25" x14ac:dyDescent="0.35">
      <c r="G3" s="4" t="s">
        <v>873</v>
      </c>
    </row>
    <row r="4" spans="1:7" ht="20.25" customHeight="1" x14ac:dyDescent="0.3">
      <c r="B4" s="5"/>
      <c r="G4" s="5" t="str">
        <f>IF(Cust_Company="",Cust_FirstName&amp;" "&amp;Cust_LastName&amp;" "&amp;Cust_LastName2,Cust_Company)</f>
        <v xml:space="preserve">  </v>
      </c>
    </row>
    <row r="5" spans="1:7" ht="18" customHeight="1" x14ac:dyDescent="0.3">
      <c r="G5" s="7" t="str">
        <f>IF(Cust_Address="","",IF(Cust_Colonia="",Cust_Address,Cust_Address&amp;", Col. "&amp;Cust_Colonia))</f>
        <v/>
      </c>
    </row>
    <row r="6" spans="1:7" ht="18" customHeight="1" x14ac:dyDescent="0.3">
      <c r="G6" s="7" t="str">
        <f>IF(Cust_City="","",Cust_City)</f>
        <v/>
      </c>
    </row>
    <row r="7" spans="1:7" ht="18" customHeight="1" x14ac:dyDescent="0.3">
      <c r="G7" s="7" t="str">
        <f>Cust_State&amp;"  "&amp;Cust_Zip</f>
        <v xml:space="preserve">Gto.  </v>
      </c>
    </row>
    <row r="9" spans="1:7" ht="18" customHeight="1" x14ac:dyDescent="0.3">
      <c r="G9" s="7" t="str">
        <f>"Tamaño  de Sistema PV  "&amp;TEXT(Sys_SizeWatts/1000,"0.00")&amp;"kW"</f>
        <v>Tamaño  de Sistema PV  3.25kW</v>
      </c>
    </row>
    <row r="10" spans="1:7" ht="18" customHeight="1" x14ac:dyDescent="0.3">
      <c r="A10"/>
      <c r="B10" s="7"/>
      <c r="C10" s="7"/>
      <c r="G10" s="7" t="str">
        <f>IF(SysSpec_PV_Units=0,"",SysSpec_PV_Units&amp;" "&amp;SysSpec_PV)</f>
        <v>10 Trina Solar_TSM-325PT</v>
      </c>
    </row>
    <row r="11" spans="1:7" ht="18" customHeight="1" x14ac:dyDescent="0.3">
      <c r="A11"/>
      <c r="G11" s="7" t="str">
        <f>IF(SysSpec_Inverters_Units=0,"",SysSpec_Inverters_Units&amp;" "&amp;SysSpec_Inverter)</f>
        <v>1 KACO_blueplanet 3.0 TL1 M2 WM OD US33</v>
      </c>
    </row>
    <row r="12" spans="1:7" ht="18" customHeight="1" x14ac:dyDescent="0.3">
      <c r="A12"/>
      <c r="G12" s="7" t="str">
        <f>IF(SysSpec_Optimizers_Units=0,"",SysSpec_Optimizers_Units&amp;" "&amp;SysSpec_Optimizer)</f>
        <v/>
      </c>
    </row>
    <row r="13" spans="1:7" ht="15.75" customHeight="1" x14ac:dyDescent="0.2">
      <c r="A13"/>
      <c r="C13" s="8"/>
    </row>
    <row r="14" spans="1:7" ht="15.75" customHeight="1" x14ac:dyDescent="0.2"/>
    <row r="15" spans="1:7" ht="15.75" customHeight="1" x14ac:dyDescent="0.2"/>
    <row r="16" spans="1:7" ht="23.25" customHeight="1" x14ac:dyDescent="0.2">
      <c r="A16" s="1"/>
      <c r="B16" s="1"/>
      <c r="C16" s="1"/>
      <c r="E16" s="716" t="s">
        <v>1180</v>
      </c>
      <c r="F16" s="716"/>
      <c r="G16" s="716" t="s">
        <v>1172</v>
      </c>
    </row>
    <row r="17" spans="1:7" ht="15.75" customHeight="1" x14ac:dyDescent="0.2"/>
    <row r="18" spans="1:7" ht="18" customHeight="1" x14ac:dyDescent="0.3">
      <c r="A18" s="677" t="s">
        <v>117</v>
      </c>
      <c r="B18" s="7"/>
      <c r="C18" s="7"/>
      <c r="D18" s="7"/>
      <c r="E18" s="682">
        <f>Cust_InitialPymt</f>
        <v>0</v>
      </c>
      <c r="F18" s="682"/>
      <c r="G18" s="678" t="str">
        <f>IF(E18=0,"Independizate a Solar con $0 pesos","Independizate a Solar con $"&amp;TEXT(E18,"#,##")&amp;" pesos")</f>
        <v>Independizate a Solar con $0 pesos</v>
      </c>
    </row>
    <row r="19" spans="1:7" ht="15.75" customHeight="1" x14ac:dyDescent="0.25">
      <c r="A19" s="676"/>
      <c r="B19" s="676"/>
      <c r="C19" s="676"/>
      <c r="E19" s="676"/>
      <c r="F19" s="676"/>
      <c r="G19" s="676"/>
    </row>
    <row r="20" spans="1:7" ht="18" customHeight="1" x14ac:dyDescent="0.3">
      <c r="A20" s="677" t="s">
        <v>502</v>
      </c>
      <c r="B20" s="7"/>
      <c r="C20" s="7"/>
      <c r="D20" s="7"/>
      <c r="E20" s="678">
        <f>Savings!AB6/12</f>
        <v>2082.8194316161321</v>
      </c>
      <c r="F20" s="678"/>
      <c r="G20" s="678" t="s">
        <v>503</v>
      </c>
    </row>
    <row r="21" spans="1:7" ht="15.75" customHeight="1" x14ac:dyDescent="0.25">
      <c r="A21" s="676"/>
      <c r="B21" s="676"/>
      <c r="C21" s="676"/>
      <c r="E21" s="676"/>
      <c r="F21" s="676"/>
      <c r="G21" s="676"/>
    </row>
    <row r="22" spans="1:7" ht="18" customHeight="1" x14ac:dyDescent="0.3">
      <c r="A22" s="677" t="s">
        <v>118</v>
      </c>
      <c r="B22" s="7"/>
      <c r="C22" s="7"/>
      <c r="D22" s="7"/>
      <c r="E22" s="681">
        <f>FinYrIncr</f>
        <v>3.5000000000000003E-2</v>
      </c>
      <c r="F22" s="681"/>
      <c r="G22" s="678" t="str">
        <f>"Bajo comparado con incrementos tarifas CFE "&amp;TEXT(CFE_YrIncreasePct,"0.0%")&amp;""</f>
        <v>Bajo comparado con incrementos tarifas CFE 8.0%</v>
      </c>
    </row>
    <row r="23" spans="1:7" ht="15.75" customHeight="1" x14ac:dyDescent="0.25">
      <c r="A23" s="676"/>
      <c r="B23" s="676"/>
      <c r="C23" s="676"/>
      <c r="E23" s="676"/>
      <c r="F23" s="676"/>
      <c r="G23" s="676"/>
    </row>
    <row r="24" spans="1:7" ht="18" customHeight="1" x14ac:dyDescent="0.3">
      <c r="A24" s="677" t="s">
        <v>119</v>
      </c>
      <c r="B24" s="7"/>
      <c r="C24" s="7"/>
      <c r="D24" s="7"/>
      <c r="E24" s="680">
        <f>Cust_LeaseTermYears</f>
        <v>15</v>
      </c>
      <c r="F24" s="678"/>
      <c r="G24" s="678" t="s">
        <v>120</v>
      </c>
    </row>
    <row r="25" spans="1:7" ht="15.75" customHeight="1" x14ac:dyDescent="0.25">
      <c r="A25" s="676"/>
      <c r="B25" s="676"/>
      <c r="C25" s="676"/>
      <c r="E25" s="676"/>
      <c r="F25" s="676"/>
      <c r="G25" s="676"/>
    </row>
    <row r="26" spans="1:7" ht="18" customHeight="1" x14ac:dyDescent="0.3">
      <c r="A26" s="677" t="s">
        <v>571</v>
      </c>
      <c r="B26" s="7"/>
      <c r="C26" s="7"/>
      <c r="D26" s="7"/>
      <c r="E26" s="678" t="s">
        <v>121</v>
      </c>
      <c r="F26" s="678"/>
      <c r="G26" s="678" t="str">
        <f>"Monitoreamos el sistema los 365 dias del año por "&amp;Cust_LeaseTermYears&amp;" años"</f>
        <v>Monitoreamos el sistema los 365 dias del año por 15 años</v>
      </c>
    </row>
    <row r="27" spans="1:7" ht="15.75" customHeight="1" x14ac:dyDescent="0.25">
      <c r="A27" s="676"/>
      <c r="B27" s="676"/>
      <c r="C27" s="676"/>
      <c r="E27" s="676"/>
      <c r="F27" s="676"/>
      <c r="G27" s="676"/>
    </row>
    <row r="28" spans="1:7" ht="18" customHeight="1" x14ac:dyDescent="0.3">
      <c r="A28" s="677" t="s">
        <v>122</v>
      </c>
      <c r="B28" s="7"/>
      <c r="C28" s="7"/>
      <c r="D28" s="7"/>
      <c r="E28" s="679" t="s">
        <v>121</v>
      </c>
      <c r="F28" s="679"/>
      <c r="G28" s="679" t="str">
        <f>"0 Preocupaciones por reparacion por "&amp;Cust_LeaseTermYears&amp;" años"</f>
        <v>0 Preocupaciones por reparacion por 15 años</v>
      </c>
    </row>
    <row r="29" spans="1:7" ht="15.75" customHeight="1" x14ac:dyDescent="0.25">
      <c r="A29" s="676"/>
      <c r="B29" s="676"/>
      <c r="C29" s="676"/>
      <c r="E29" s="676"/>
      <c r="F29" s="676"/>
      <c r="G29" s="676"/>
    </row>
    <row r="30" spans="1:7" ht="18" customHeight="1" x14ac:dyDescent="0.3">
      <c r="A30" s="677" t="s">
        <v>123</v>
      </c>
      <c r="B30" s="7"/>
      <c r="C30" s="7"/>
      <c r="D30" s="7"/>
      <c r="E30" s="679" t="s">
        <v>121</v>
      </c>
      <c r="F30" s="679"/>
      <c r="G30" s="679" t="s">
        <v>1092</v>
      </c>
    </row>
    <row r="31" spans="1:7" ht="15.75" customHeight="1" x14ac:dyDescent="0.25">
      <c r="A31" s="676"/>
      <c r="B31" s="676"/>
      <c r="C31" s="676"/>
      <c r="E31" s="676"/>
      <c r="F31" s="676"/>
      <c r="G31" s="676"/>
    </row>
    <row r="32" spans="1:7" ht="18" customHeight="1" x14ac:dyDescent="0.3">
      <c r="A32" s="677" t="s">
        <v>478</v>
      </c>
      <c r="B32" s="7"/>
      <c r="C32" s="7"/>
      <c r="D32" s="7"/>
      <c r="E32" s="678" t="s">
        <v>121</v>
      </c>
      <c r="F32" s="679"/>
      <c r="G32" s="678" t="s">
        <v>310</v>
      </c>
    </row>
    <row r="33" spans="1:7" x14ac:dyDescent="0.2">
      <c r="A33" s="1"/>
      <c r="B33" s="1"/>
      <c r="C33" s="1"/>
      <c r="D33" s="1"/>
      <c r="E33" s="1"/>
      <c r="F33" s="1"/>
      <c r="G33" s="1"/>
    </row>
    <row r="34" spans="1:7" x14ac:dyDescent="0.2">
      <c r="A34" s="1"/>
      <c r="B34" s="1"/>
      <c r="C34" s="1"/>
      <c r="D34" s="1"/>
      <c r="E34" s="1"/>
      <c r="F34" s="1"/>
      <c r="G34" s="1"/>
    </row>
    <row r="35" spans="1:7" x14ac:dyDescent="0.2">
      <c r="A35" s="1"/>
      <c r="B35" s="1"/>
      <c r="C35" s="1"/>
      <c r="D35" s="1"/>
      <c r="E35" s="1"/>
      <c r="F35" s="1"/>
      <c r="G35" s="1"/>
    </row>
    <row r="36" spans="1:7" x14ac:dyDescent="0.2">
      <c r="A36" s="1"/>
      <c r="B36" s="1"/>
      <c r="C36" s="1"/>
      <c r="D36" s="1"/>
      <c r="E36" s="1"/>
      <c r="F36" s="1"/>
      <c r="G36" s="1"/>
    </row>
    <row r="37" spans="1:7" x14ac:dyDescent="0.2">
      <c r="A37" s="9"/>
      <c r="B37" s="1"/>
      <c r="C37" s="1"/>
      <c r="D37" s="1"/>
      <c r="E37" s="1"/>
      <c r="F37" s="1"/>
      <c r="G37" s="1"/>
    </row>
    <row r="57" spans="1:7" ht="23.25" x14ac:dyDescent="0.35">
      <c r="G57" s="4" t="str">
        <f>G3</f>
        <v>MySOL Plan de Servicio</v>
      </c>
    </row>
    <row r="58" spans="1:7" ht="20.25" customHeight="1" x14ac:dyDescent="0.3">
      <c r="B58" s="5"/>
      <c r="G58" s="5" t="str">
        <f>G4</f>
        <v xml:space="preserve">  </v>
      </c>
    </row>
    <row r="59" spans="1:7" ht="18" customHeight="1" x14ac:dyDescent="0.3">
      <c r="G59" s="7" t="str">
        <f>G5</f>
        <v/>
      </c>
    </row>
    <row r="60" spans="1:7" ht="18" customHeight="1" x14ac:dyDescent="0.3">
      <c r="G60" s="7" t="str">
        <f>G6</f>
        <v/>
      </c>
    </row>
    <row r="61" spans="1:7" ht="18" customHeight="1" x14ac:dyDescent="0.3">
      <c r="G61" s="7" t="str">
        <f>G7</f>
        <v xml:space="preserve">Gto.  </v>
      </c>
    </row>
    <row r="63" spans="1:7" ht="18" customHeight="1" x14ac:dyDescent="0.3">
      <c r="G63" s="7" t="str">
        <f>G9</f>
        <v>Tamaño  de Sistema PV  3.25kW</v>
      </c>
    </row>
    <row r="64" spans="1:7" ht="18" customHeight="1" x14ac:dyDescent="0.3">
      <c r="A64"/>
      <c r="B64" s="7"/>
      <c r="C64" s="7"/>
      <c r="G64" s="7" t="str">
        <f t="shared" ref="G64:G66" si="0">G10</f>
        <v>10 Trina Solar_TSM-325PT</v>
      </c>
    </row>
    <row r="65" spans="1:7" ht="18" customHeight="1" x14ac:dyDescent="0.3">
      <c r="A65"/>
      <c r="G65" s="7" t="str">
        <f t="shared" si="0"/>
        <v>1 KACO_blueplanet 3.0 TL1 M2 WM OD US33</v>
      </c>
    </row>
    <row r="66" spans="1:7" ht="18" customHeight="1" x14ac:dyDescent="0.3">
      <c r="A66"/>
      <c r="G66" s="7" t="str">
        <f t="shared" si="0"/>
        <v/>
      </c>
    </row>
    <row r="67" spans="1:7" x14ac:dyDescent="0.2">
      <c r="C67" s="8"/>
    </row>
    <row r="70" spans="1:7" ht="60.75" x14ac:dyDescent="0.3">
      <c r="A70" s="683" t="s">
        <v>183</v>
      </c>
      <c r="B70" s="684"/>
      <c r="C70" s="685" t="s">
        <v>124</v>
      </c>
      <c r="D70" s="685" t="s">
        <v>479</v>
      </c>
      <c r="E70" s="686" t="s">
        <v>202</v>
      </c>
      <c r="F70" s="7"/>
      <c r="G70" s="5" t="str">
        <f>"Resumen "&amp;15&amp;" Años"</f>
        <v>Resumen 15 Años</v>
      </c>
    </row>
    <row r="71" spans="1:7" ht="20.25" x14ac:dyDescent="0.3">
      <c r="A71" s="7" t="s">
        <v>128</v>
      </c>
      <c r="B71" s="7"/>
      <c r="C71" s="687">
        <f>Savings!J6</f>
        <v>33729.695999999996</v>
      </c>
      <c r="D71" s="687">
        <f>Savings!X6</f>
        <v>2879.1573969083925</v>
      </c>
      <c r="E71" s="7"/>
      <c r="F71" s="7"/>
      <c r="G71" s="688" t="str">
        <f>"Ahorros en el año "&amp;15&amp;" son de un "&amp;TEXT(Savings!AF20,"0.0%")</f>
        <v>Ahorros en el año 15 son de un 53.4%</v>
      </c>
    </row>
    <row r="72" spans="1:7" ht="20.25" x14ac:dyDescent="0.3">
      <c r="A72" s="684" t="s">
        <v>480</v>
      </c>
      <c r="B72" s="684"/>
      <c r="C72" s="689" t="s">
        <v>39</v>
      </c>
      <c r="D72" s="690">
        <f>Savings!AB6</f>
        <v>24993.833179393583</v>
      </c>
      <c r="E72" s="7"/>
      <c r="F72" s="7"/>
      <c r="G72" s="688" t="str">
        <f>"Ahorros Totales durante "&amp;15&amp;" años "&amp;TEXT(G120,"$000,000")</f>
        <v>Ahorros Totales durante 15 años $381,226</v>
      </c>
    </row>
    <row r="73" spans="1:7" ht="20.25" x14ac:dyDescent="0.3">
      <c r="A73" s="5" t="s">
        <v>26</v>
      </c>
      <c r="B73" s="7"/>
      <c r="C73" s="691">
        <f>SUM(C71:C72)</f>
        <v>33729.695999999996</v>
      </c>
      <c r="D73" s="691">
        <f>SUM(D71:D72)</f>
        <v>27872.990576301974</v>
      </c>
      <c r="E73" s="692">
        <f>C73-D73</f>
        <v>5856.7054236980221</v>
      </c>
      <c r="F73" s="693"/>
      <c r="G73" s="5"/>
    </row>
    <row r="74" spans="1:7" ht="15.75" x14ac:dyDescent="0.25">
      <c r="A74" s="6"/>
      <c r="C74" s="114"/>
      <c r="D74" s="114"/>
      <c r="E74" s="13"/>
      <c r="G74" s="10"/>
    </row>
    <row r="75" spans="1:7" ht="15.75" x14ac:dyDescent="0.25">
      <c r="A75" s="10"/>
      <c r="C75" s="11"/>
      <c r="D75" s="11"/>
      <c r="E75" s="113"/>
      <c r="F75" s="13"/>
      <c r="G75" s="10"/>
    </row>
    <row r="76" spans="1:7" x14ac:dyDescent="0.2">
      <c r="A76" s="2"/>
      <c r="C76" s="12"/>
    </row>
    <row r="100" spans="1:7" ht="13.5" thickBot="1" x14ac:dyDescent="0.25"/>
    <row r="101" spans="1:7" ht="21" thickBot="1" x14ac:dyDescent="0.25">
      <c r="A101" s="806" t="str">
        <f>G3</f>
        <v>MySOL Plan de Servicio</v>
      </c>
      <c r="B101" s="807"/>
      <c r="C101" s="807"/>
      <c r="D101" s="807"/>
      <c r="E101" s="807"/>
      <c r="F101" s="807"/>
      <c r="G101" s="808"/>
    </row>
    <row r="102" spans="1:7" ht="18" customHeight="1" thickBot="1" x14ac:dyDescent="0.25">
      <c r="A102" s="748" t="s">
        <v>125</v>
      </c>
      <c r="B102" s="809"/>
      <c r="C102" s="751" t="s">
        <v>780</v>
      </c>
      <c r="D102" s="812"/>
      <c r="E102" s="753" t="s">
        <v>796</v>
      </c>
      <c r="F102" s="754"/>
      <c r="G102" s="755"/>
    </row>
    <row r="103" spans="1:7" ht="18" customHeight="1" x14ac:dyDescent="0.2">
      <c r="A103" s="810"/>
      <c r="B103" s="811"/>
      <c r="C103" s="813" t="s">
        <v>128</v>
      </c>
      <c r="D103" s="814"/>
      <c r="E103" s="815" t="s">
        <v>781</v>
      </c>
      <c r="F103" s="816"/>
      <c r="G103" s="696" t="s">
        <v>127</v>
      </c>
    </row>
    <row r="104" spans="1:7" ht="12.75" customHeight="1" x14ac:dyDescent="0.2">
      <c r="A104" s="718" t="s">
        <v>126</v>
      </c>
      <c r="B104" s="720"/>
      <c r="C104" s="728">
        <v>0</v>
      </c>
      <c r="D104" s="802"/>
      <c r="E104" s="728">
        <f>Cust_InitialPymt</f>
        <v>0</v>
      </c>
      <c r="F104" s="803"/>
      <c r="G104" s="694"/>
    </row>
    <row r="105" spans="1:7" ht="18" x14ac:dyDescent="0.2">
      <c r="A105" s="718">
        <v>1</v>
      </c>
      <c r="B105" s="720"/>
      <c r="C105" s="728">
        <f>Savings!J6</f>
        <v>33729.695999999996</v>
      </c>
      <c r="D105" s="802"/>
      <c r="E105" s="728" t="str">
        <f t="shared" ref="E105:E119" si="1">IF(A105&lt;&gt;Cust_LeaseTermYears,"",Cust_TotalPymtAtTermEnd)</f>
        <v/>
      </c>
      <c r="F105" s="803"/>
      <c r="G105" s="694">
        <f>Savings!AE6</f>
        <v>5856.7054236980221</v>
      </c>
    </row>
    <row r="106" spans="1:7" ht="18" x14ac:dyDescent="0.2">
      <c r="A106" s="718">
        <v>2</v>
      </c>
      <c r="B106" s="720"/>
      <c r="C106" s="728">
        <f>Savings!J7</f>
        <v>36428.071679999994</v>
      </c>
      <c r="D106" s="802"/>
      <c r="E106" s="728" t="str">
        <f t="shared" si="1"/>
        <v/>
      </c>
      <c r="F106" s="803"/>
      <c r="G106" s="694">
        <f>Savings!AE7</f>
        <v>8657.2770289082291</v>
      </c>
    </row>
    <row r="107" spans="1:7" ht="18" x14ac:dyDescent="0.2">
      <c r="A107" s="718">
        <v>3</v>
      </c>
      <c r="B107" s="720"/>
      <c r="C107" s="728">
        <f>Savings!J8</f>
        <v>39342.3174144</v>
      </c>
      <c r="D107" s="802"/>
      <c r="E107" s="728" t="str">
        <f t="shared" si="1"/>
        <v/>
      </c>
      <c r="F107" s="803"/>
      <c r="G107" s="694">
        <f>Savings!AE8</f>
        <v>10483.402357021383</v>
      </c>
    </row>
    <row r="108" spans="1:7" ht="18" x14ac:dyDescent="0.2">
      <c r="A108" s="718">
        <v>4</v>
      </c>
      <c r="B108" s="720"/>
      <c r="C108" s="728">
        <f>Savings!J9</f>
        <v>42489.702807551999</v>
      </c>
      <c r="D108" s="802"/>
      <c r="E108" s="728" t="str">
        <f t="shared" si="1"/>
        <v/>
      </c>
      <c r="F108" s="803"/>
      <c r="G108" s="694">
        <f>Savings!AE9</f>
        <v>12497.176961895562</v>
      </c>
    </row>
    <row r="109" spans="1:7" ht="18" x14ac:dyDescent="0.2">
      <c r="A109" s="718">
        <v>5</v>
      </c>
      <c r="B109" s="720"/>
      <c r="C109" s="728">
        <f>Savings!J10</f>
        <v>45888.879032156168</v>
      </c>
      <c r="D109" s="802"/>
      <c r="E109" s="728" t="str">
        <f t="shared" si="1"/>
        <v/>
      </c>
      <c r="F109" s="803"/>
      <c r="G109" s="694">
        <f>Savings!AE10</f>
        <v>14715.13812247281</v>
      </c>
    </row>
    <row r="110" spans="1:7" ht="18" x14ac:dyDescent="0.2">
      <c r="A110" s="718">
        <v>6</v>
      </c>
      <c r="B110" s="720"/>
      <c r="C110" s="728">
        <f>Savings!J11</f>
        <v>49559.98935472867</v>
      </c>
      <c r="D110" s="802"/>
      <c r="E110" s="728" t="str">
        <f t="shared" si="1"/>
        <v/>
      </c>
      <c r="F110" s="803"/>
      <c r="G110" s="694">
        <f>Savings!AE11</f>
        <v>17155.20216528458</v>
      </c>
    </row>
    <row r="111" spans="1:7" ht="18" x14ac:dyDescent="0.2">
      <c r="A111" s="718">
        <v>7</v>
      </c>
      <c r="B111" s="720"/>
      <c r="C111" s="728">
        <f>Savings!J12</f>
        <v>53524.788503106975</v>
      </c>
      <c r="D111" s="802"/>
      <c r="E111" s="728" t="str">
        <f t="shared" si="1"/>
        <v/>
      </c>
      <c r="F111" s="803"/>
      <c r="G111" s="694">
        <f>Savings!AE12</f>
        <v>19836.776852708383</v>
      </c>
    </row>
    <row r="112" spans="1:7" ht="18" x14ac:dyDescent="0.2">
      <c r="A112" s="718">
        <v>8</v>
      </c>
      <c r="B112" s="720"/>
      <c r="C112" s="728">
        <f>Savings!J13</f>
        <v>57806.771583355527</v>
      </c>
      <c r="D112" s="802"/>
      <c r="E112" s="728" t="str">
        <f t="shared" si="1"/>
        <v/>
      </c>
      <c r="F112" s="803"/>
      <c r="G112" s="694">
        <f>Savings!AE13</f>
        <v>22780.882838464415</v>
      </c>
    </row>
    <row r="113" spans="1:7" ht="18" x14ac:dyDescent="0.2">
      <c r="A113" s="718">
        <v>9</v>
      </c>
      <c r="B113" s="720"/>
      <c r="C113" s="728">
        <f>Savings!J14</f>
        <v>62431.313310023972</v>
      </c>
      <c r="D113" s="802"/>
      <c r="E113" s="728" t="str">
        <f t="shared" si="1"/>
        <v/>
      </c>
      <c r="F113" s="803"/>
      <c r="G113" s="694">
        <f>Savings!AE14</f>
        <v>26010.284918549543</v>
      </c>
    </row>
    <row r="114" spans="1:7" ht="18" x14ac:dyDescent="0.2">
      <c r="A114" s="718">
        <v>10</v>
      </c>
      <c r="B114" s="720"/>
      <c r="C114" s="728">
        <f>Savings!J15</f>
        <v>67425.818374825903</v>
      </c>
      <c r="D114" s="802"/>
      <c r="E114" s="728" t="str">
        <f t="shared" si="1"/>
        <v/>
      </c>
      <c r="F114" s="803"/>
      <c r="G114" s="694">
        <f>Savings!AE15</f>
        <v>29549.633864165677</v>
      </c>
    </row>
    <row r="115" spans="1:7" ht="18" x14ac:dyDescent="0.2">
      <c r="A115" s="718">
        <v>11</v>
      </c>
      <c r="B115" s="720"/>
      <c r="C115" s="728">
        <f>Savings!J16</f>
        <v>72819.883844811964</v>
      </c>
      <c r="D115" s="802"/>
      <c r="E115" s="728" t="str">
        <f t="shared" si="1"/>
        <v/>
      </c>
      <c r="F115" s="803"/>
      <c r="G115" s="694">
        <f>Savings!AE16</f>
        <v>33425.619686233287</v>
      </c>
    </row>
    <row r="116" spans="1:7" ht="18" x14ac:dyDescent="0.2">
      <c r="A116" s="718">
        <v>12</v>
      </c>
      <c r="B116" s="720"/>
      <c r="C116" s="728">
        <f>Savings!J17</f>
        <v>78645.474552396947</v>
      </c>
      <c r="D116" s="802"/>
      <c r="E116" s="728" t="str">
        <f t="shared" si="1"/>
        <v/>
      </c>
      <c r="F116" s="803"/>
      <c r="G116" s="694">
        <f>Savings!AE17</f>
        <v>37667.137249160129</v>
      </c>
    </row>
    <row r="117" spans="1:7" ht="18" x14ac:dyDescent="0.2">
      <c r="A117" s="718">
        <v>13</v>
      </c>
      <c r="B117" s="720"/>
      <c r="C117" s="728">
        <f>Savings!J18</f>
        <v>84937.112516588706</v>
      </c>
      <c r="D117" s="802"/>
      <c r="E117" s="728" t="str">
        <f t="shared" si="1"/>
        <v/>
      </c>
      <c r="F117" s="803"/>
      <c r="G117" s="694">
        <f>Savings!AE18</f>
        <v>42305.465225064952</v>
      </c>
    </row>
    <row r="118" spans="1:7" ht="18" x14ac:dyDescent="0.2">
      <c r="A118" s="718">
        <v>14</v>
      </c>
      <c r="B118" s="720"/>
      <c r="C118" s="728">
        <f>Savings!J19</f>
        <v>91732.081517915794</v>
      </c>
      <c r="D118" s="802"/>
      <c r="E118" s="728" t="str">
        <f t="shared" si="1"/>
        <v/>
      </c>
      <c r="F118" s="803"/>
      <c r="G118" s="694">
        <f>Savings!AE19</f>
        <v>47374.459459074387</v>
      </c>
    </row>
    <row r="119" spans="1:7" ht="18.75" thickBot="1" x14ac:dyDescent="0.25">
      <c r="A119" s="817">
        <v>15</v>
      </c>
      <c r="B119" s="818"/>
      <c r="C119" s="819">
        <f>Savings!J20</f>
        <v>99070.648039349064</v>
      </c>
      <c r="D119" s="820"/>
      <c r="E119" s="819">
        <f t="shared" si="1"/>
        <v>100</v>
      </c>
      <c r="F119" s="821"/>
      <c r="G119" s="694">
        <f>Savings!AE20</f>
        <v>52910.761902084356</v>
      </c>
    </row>
    <row r="120" spans="1:7" ht="18.75" thickBot="1" x14ac:dyDescent="0.25">
      <c r="A120" s="756" t="s">
        <v>33</v>
      </c>
      <c r="B120" s="822"/>
      <c r="C120" s="763">
        <f>SUM(C104:D119)</f>
        <v>915832.54853121145</v>
      </c>
      <c r="D120" s="823"/>
      <c r="E120" s="763">
        <f>SUM(E104:F119)</f>
        <v>100</v>
      </c>
      <c r="F120" s="824"/>
      <c r="G120" s="695">
        <f>SUM(G105:G119)</f>
        <v>381225.92405478569</v>
      </c>
    </row>
    <row r="122" spans="1:7" x14ac:dyDescent="0.2">
      <c r="A122" s="766"/>
      <c r="B122" s="766"/>
      <c r="C122" s="766"/>
      <c r="D122" s="766"/>
      <c r="E122" s="766"/>
      <c r="F122" s="766"/>
      <c r="G122" s="766"/>
    </row>
    <row r="123" spans="1:7" ht="13.5" thickBot="1" x14ac:dyDescent="0.25">
      <c r="A123" s="804"/>
      <c r="B123" s="804"/>
      <c r="C123" s="804"/>
      <c r="D123" s="804"/>
      <c r="E123" s="804"/>
      <c r="F123" s="804"/>
      <c r="G123" s="804"/>
    </row>
    <row r="124" spans="1:7" ht="12.75" customHeight="1" x14ac:dyDescent="0.2">
      <c r="A124" s="769" t="s">
        <v>338</v>
      </c>
      <c r="B124" s="769"/>
      <c r="C124" s="769"/>
      <c r="D124" s="769"/>
      <c r="E124" s="769"/>
      <c r="F124" s="769"/>
      <c r="G124" s="769"/>
    </row>
    <row r="125" spans="1:7" ht="12.75" customHeight="1" x14ac:dyDescent="0.2">
      <c r="A125" s="805"/>
      <c r="B125" s="805"/>
      <c r="C125" s="805"/>
      <c r="D125" s="805"/>
      <c r="E125" s="805"/>
      <c r="F125" s="805"/>
      <c r="G125" s="805"/>
    </row>
    <row r="141" spans="1:7" ht="28.5" customHeight="1" x14ac:dyDescent="0.35">
      <c r="A141" s="762" t="s">
        <v>311</v>
      </c>
      <c r="B141" s="762"/>
      <c r="C141" s="762"/>
      <c r="D141" s="762"/>
      <c r="E141" s="762"/>
      <c r="F141" s="762"/>
      <c r="G141" s="762"/>
    </row>
    <row r="142" spans="1:7" ht="15.75" x14ac:dyDescent="0.25">
      <c r="A142" s="787" t="s">
        <v>312</v>
      </c>
      <c r="B142" s="788"/>
      <c r="C142" s="788"/>
      <c r="D142" s="788"/>
      <c r="E142" s="788"/>
      <c r="F142" s="788"/>
      <c r="G142" s="788"/>
    </row>
    <row r="144" spans="1:7" ht="12.75" customHeight="1" x14ac:dyDescent="0.2">
      <c r="A144" s="773" t="s">
        <v>313</v>
      </c>
      <c r="B144" s="773"/>
      <c r="C144" s="773"/>
      <c r="D144" s="773"/>
      <c r="E144" s="773"/>
      <c r="F144" s="773"/>
      <c r="G144" s="773"/>
    </row>
    <row r="145" spans="1:7" ht="12.75" customHeight="1" x14ac:dyDescent="0.2">
      <c r="A145" s="773"/>
      <c r="B145" s="773"/>
      <c r="C145" s="773"/>
      <c r="D145" s="773"/>
      <c r="E145" s="773"/>
      <c r="F145" s="773"/>
      <c r="G145" s="773"/>
    </row>
    <row r="146" spans="1:7" ht="12.75" customHeight="1" x14ac:dyDescent="0.2">
      <c r="A146" s="773"/>
      <c r="B146" s="773"/>
      <c r="C146" s="773"/>
      <c r="D146" s="773"/>
      <c r="E146" s="773"/>
      <c r="F146" s="773"/>
      <c r="G146" s="773"/>
    </row>
    <row r="147" spans="1:7" ht="12.75" customHeight="1" x14ac:dyDescent="0.2">
      <c r="A147" s="772" t="s">
        <v>314</v>
      </c>
      <c r="B147" s="773"/>
      <c r="C147" s="773"/>
      <c r="D147" s="773"/>
      <c r="E147" s="773"/>
      <c r="F147" s="773"/>
      <c r="G147" s="773"/>
    </row>
    <row r="148" spans="1:7" ht="12.75" customHeight="1" x14ac:dyDescent="0.2">
      <c r="A148" s="773"/>
      <c r="B148" s="773"/>
      <c r="C148" s="773"/>
      <c r="D148" s="773"/>
      <c r="E148" s="773"/>
      <c r="F148" s="773"/>
      <c r="G148" s="773"/>
    </row>
    <row r="149" spans="1:7" ht="12.75" customHeight="1" x14ac:dyDescent="0.2">
      <c r="A149" s="773"/>
      <c r="B149" s="773"/>
      <c r="C149" s="773"/>
      <c r="D149" s="773"/>
      <c r="E149" s="773"/>
      <c r="F149" s="773"/>
      <c r="G149" s="773"/>
    </row>
    <row r="150" spans="1:7" ht="12.75" customHeight="1" x14ac:dyDescent="0.2">
      <c r="A150" s="773"/>
      <c r="B150" s="773"/>
      <c r="C150" s="773"/>
      <c r="D150" s="773"/>
      <c r="E150" s="773"/>
      <c r="F150" s="773"/>
      <c r="G150" s="773"/>
    </row>
    <row r="151" spans="1:7" ht="12.75" customHeight="1" x14ac:dyDescent="0.2">
      <c r="A151" s="773"/>
      <c r="B151" s="773"/>
      <c r="C151" s="773"/>
      <c r="D151" s="773"/>
      <c r="E151" s="773"/>
      <c r="F151" s="773"/>
      <c r="G151" s="773"/>
    </row>
    <row r="152" spans="1:7" ht="12.75" customHeight="1" x14ac:dyDescent="0.2">
      <c r="A152" s="773"/>
      <c r="B152" s="773"/>
      <c r="C152" s="773"/>
      <c r="D152" s="773"/>
      <c r="E152" s="773"/>
      <c r="F152" s="773"/>
      <c r="G152" s="773"/>
    </row>
    <row r="153" spans="1:7" ht="12.75" customHeight="1" x14ac:dyDescent="0.2">
      <c r="A153" s="773" t="s">
        <v>315</v>
      </c>
      <c r="B153" s="773"/>
      <c r="C153" s="773"/>
      <c r="D153" s="773"/>
      <c r="E153" s="773"/>
      <c r="F153" s="773"/>
      <c r="G153" s="773"/>
    </row>
    <row r="154" spans="1:7" ht="19.5" customHeight="1" x14ac:dyDescent="0.2">
      <c r="A154" s="773"/>
      <c r="B154" s="773"/>
      <c r="C154" s="773"/>
      <c r="D154" s="773"/>
      <c r="E154" s="773"/>
      <c r="F154" s="773"/>
      <c r="G154" s="773"/>
    </row>
    <row r="155" spans="1:7" x14ac:dyDescent="0.2">
      <c r="A155" s="658"/>
      <c r="B155" s="658"/>
      <c r="C155" s="658"/>
      <c r="D155" s="658"/>
      <c r="E155" s="658"/>
      <c r="F155" s="658"/>
      <c r="G155" s="658"/>
    </row>
    <row r="156" spans="1:7" x14ac:dyDescent="0.2">
      <c r="A156" s="308"/>
      <c r="B156" s="308"/>
      <c r="C156" s="308"/>
      <c r="D156" s="308"/>
      <c r="E156" s="308"/>
      <c r="F156" s="308"/>
      <c r="G156" s="308"/>
    </row>
    <row r="157" spans="1:7" ht="15.75" x14ac:dyDescent="0.25">
      <c r="A157" s="774" t="s">
        <v>316</v>
      </c>
      <c r="B157" s="775"/>
      <c r="C157" s="775"/>
      <c r="D157" s="775"/>
      <c r="E157" s="775"/>
      <c r="F157" s="775"/>
      <c r="G157" s="775"/>
    </row>
    <row r="158" spans="1:7" ht="13.5" thickBot="1" x14ac:dyDescent="0.25"/>
    <row r="159" spans="1:7" ht="36" thickBot="1" x14ac:dyDescent="0.25">
      <c r="A159"/>
      <c r="B159"/>
      <c r="C159" s="313"/>
      <c r="D159" s="777" t="s">
        <v>317</v>
      </c>
      <c r="E159" s="778"/>
      <c r="F159" s="309"/>
    </row>
    <row r="160" spans="1:7" ht="36" customHeight="1" thickBot="1" x14ac:dyDescent="0.25">
      <c r="A160" s="310"/>
      <c r="C160" s="313"/>
      <c r="D160" s="777" t="s">
        <v>318</v>
      </c>
      <c r="E160" s="778"/>
      <c r="F160" s="309"/>
    </row>
    <row r="161" spans="1:7" ht="36" thickBot="1" x14ac:dyDescent="0.25">
      <c r="C161" s="313"/>
      <c r="D161" s="777" t="s">
        <v>317</v>
      </c>
      <c r="E161" s="778"/>
      <c r="F161" s="309"/>
    </row>
    <row r="163" spans="1:7" ht="15.75" x14ac:dyDescent="0.25">
      <c r="A163" s="10" t="s">
        <v>319</v>
      </c>
      <c r="B163" s="2"/>
    </row>
    <row r="164" spans="1:7" ht="25.5" customHeight="1" thickBot="1" x14ac:dyDescent="0.25">
      <c r="A164" s="776"/>
      <c r="B164" s="717"/>
      <c r="C164" s="717"/>
      <c r="D164" s="717"/>
      <c r="E164" s="717"/>
      <c r="F164" s="717"/>
      <c r="G164" s="717"/>
    </row>
    <row r="166" spans="1:7" ht="15.75" x14ac:dyDescent="0.25">
      <c r="A166" s="10" t="s">
        <v>320</v>
      </c>
      <c r="B166" s="2"/>
    </row>
    <row r="167" spans="1:7" ht="25.5" customHeight="1" thickBot="1" x14ac:dyDescent="0.25">
      <c r="A167" s="737"/>
      <c r="B167" s="717"/>
      <c r="C167" s="717"/>
      <c r="D167" s="717"/>
      <c r="E167" s="717"/>
      <c r="F167" s="717"/>
      <c r="G167" s="717"/>
    </row>
    <row r="169" spans="1:7" ht="25.5" customHeight="1" thickBot="1" x14ac:dyDescent="0.3">
      <c r="A169" s="10" t="s">
        <v>321</v>
      </c>
      <c r="B169" s="344"/>
      <c r="C169" s="345"/>
      <c r="D169" s="698"/>
      <c r="E169" s="717"/>
      <c r="F169" s="717"/>
      <c r="G169" s="717"/>
    </row>
    <row r="171" spans="1:7" ht="25.5" customHeight="1" thickBot="1" x14ac:dyDescent="0.3">
      <c r="A171" s="697" t="s">
        <v>322</v>
      </c>
      <c r="B171" s="757"/>
      <c r="C171" s="717"/>
      <c r="D171" s="717"/>
      <c r="E171" s="717"/>
      <c r="F171" s="717"/>
      <c r="G171" s="717"/>
    </row>
    <row r="173" spans="1:7" ht="25.5" customHeight="1" thickBot="1" x14ac:dyDescent="0.3">
      <c r="A173" s="697" t="s">
        <v>323</v>
      </c>
      <c r="B173" s="661"/>
      <c r="C173" s="717"/>
      <c r="D173" s="717"/>
      <c r="E173" s="717"/>
      <c r="F173" s="717"/>
      <c r="G173" s="717"/>
    </row>
    <row r="175" spans="1:7" ht="25.5" customHeight="1" thickBot="1" x14ac:dyDescent="0.3">
      <c r="A175" s="10" t="s">
        <v>324</v>
      </c>
      <c r="B175" s="659"/>
      <c r="C175" s="662"/>
      <c r="D175" s="662"/>
      <c r="E175" s="662"/>
      <c r="F175" s="10" t="s">
        <v>325</v>
      </c>
      <c r="G175" s="311"/>
    </row>
    <row r="177" spans="1:7" ht="25.5" customHeight="1" thickBot="1" x14ac:dyDescent="0.3">
      <c r="A177" s="10" t="s">
        <v>326</v>
      </c>
      <c r="B177" s="659"/>
      <c r="C177" s="662"/>
      <c r="D177" s="662"/>
      <c r="E177" s="662"/>
      <c r="F177" s="10" t="s">
        <v>327</v>
      </c>
      <c r="G177" s="311"/>
    </row>
    <row r="179" spans="1:7" ht="25.5" customHeight="1" thickBot="1" x14ac:dyDescent="0.3">
      <c r="A179" s="697" t="s">
        <v>328</v>
      </c>
      <c r="B179" s="344"/>
      <c r="C179" s="345"/>
      <c r="D179" s="663"/>
      <c r="E179" s="781"/>
      <c r="F179" s="781"/>
      <c r="G179" s="781"/>
    </row>
    <row r="181" spans="1:7" ht="12.75" customHeight="1" x14ac:dyDescent="0.2">
      <c r="A181" s="780" t="s">
        <v>329</v>
      </c>
      <c r="B181" s="759"/>
      <c r="C181" s="759"/>
      <c r="D181" s="759"/>
      <c r="E181" s="759"/>
      <c r="F181" s="759"/>
      <c r="G181" s="759"/>
    </row>
    <row r="182" spans="1:7" ht="12.75" customHeight="1" x14ac:dyDescent="0.2">
      <c r="A182" s="759"/>
      <c r="B182" s="759"/>
      <c r="C182" s="759"/>
      <c r="D182" s="759"/>
      <c r="E182" s="759"/>
      <c r="F182" s="759"/>
      <c r="G182" s="759"/>
    </row>
    <row r="183" spans="1:7" ht="12.75" customHeight="1" x14ac:dyDescent="0.2">
      <c r="A183" s="759"/>
      <c r="B183" s="759"/>
      <c r="C183" s="759"/>
      <c r="D183" s="759"/>
      <c r="E183" s="759"/>
      <c r="F183" s="759"/>
      <c r="G183" s="759"/>
    </row>
    <row r="184" spans="1:7" ht="12.75" customHeight="1" x14ac:dyDescent="0.2">
      <c r="A184" s="759"/>
      <c r="B184" s="759"/>
      <c r="C184" s="759"/>
      <c r="D184" s="759"/>
      <c r="E184" s="759"/>
      <c r="F184" s="759"/>
      <c r="G184" s="759"/>
    </row>
    <row r="187" spans="1:7" ht="25.5" customHeight="1" thickBot="1" x14ac:dyDescent="0.25">
      <c r="A187" s="781"/>
      <c r="B187" s="782"/>
      <c r="C187" s="782"/>
      <c r="D187" s="782"/>
      <c r="E187" s="782"/>
      <c r="F187" s="782"/>
      <c r="G187" s="782"/>
    </row>
    <row r="188" spans="1:7" ht="15" x14ac:dyDescent="0.25">
      <c r="A188" s="783" t="s">
        <v>330</v>
      </c>
      <c r="B188" s="784"/>
      <c r="C188" s="784"/>
      <c r="D188" s="784"/>
      <c r="E188" s="784"/>
      <c r="F188" s="784"/>
      <c r="G188" s="784"/>
    </row>
    <row r="189" spans="1:7" x14ac:dyDescent="0.2">
      <c r="A189" s="657"/>
      <c r="B189" s="657"/>
      <c r="C189" s="657"/>
      <c r="D189" s="657"/>
      <c r="E189" s="657"/>
      <c r="F189" s="657"/>
      <c r="G189" s="657"/>
    </row>
    <row r="190" spans="1:7" ht="15" x14ac:dyDescent="0.25">
      <c r="A190" s="785" t="s">
        <v>331</v>
      </c>
      <c r="B190" s="786"/>
      <c r="C190" s="786"/>
      <c r="D190" s="786"/>
      <c r="E190" s="786"/>
      <c r="F190" s="786"/>
      <c r="G190" s="786"/>
    </row>
    <row r="192" spans="1:7" ht="12.75" customHeight="1" x14ac:dyDescent="0.2">
      <c r="A192" s="758" t="s">
        <v>332</v>
      </c>
      <c r="B192" s="759"/>
      <c r="C192" s="759"/>
      <c r="D192" s="759"/>
      <c r="E192" s="759"/>
      <c r="F192" s="759"/>
      <c r="G192" s="759"/>
    </row>
    <row r="193" spans="1:7" ht="20.25" customHeight="1" x14ac:dyDescent="0.2">
      <c r="A193" s="759"/>
      <c r="B193" s="759"/>
      <c r="C193" s="759"/>
      <c r="D193" s="759"/>
      <c r="E193" s="759"/>
      <c r="F193" s="759"/>
      <c r="G193" s="759"/>
    </row>
    <row r="195" spans="1:7" ht="12.75" customHeight="1" x14ac:dyDescent="0.2">
      <c r="A195" s="342"/>
      <c r="B195" s="657"/>
      <c r="C195" s="657"/>
      <c r="D195" s="657"/>
      <c r="E195" s="657"/>
      <c r="F195" s="657"/>
      <c r="G195" s="657"/>
    </row>
    <row r="196" spans="1:7" x14ac:dyDescent="0.2">
      <c r="A196" s="657"/>
      <c r="B196" s="657"/>
      <c r="C196" s="657"/>
      <c r="D196" s="657"/>
      <c r="E196" s="657"/>
      <c r="F196" s="657"/>
      <c r="G196" s="657"/>
    </row>
    <row r="197" spans="1:7" x14ac:dyDescent="0.2">
      <c r="A197" s="657"/>
      <c r="B197" s="657"/>
      <c r="C197" s="657"/>
      <c r="D197" s="657"/>
      <c r="E197" s="657"/>
      <c r="F197" s="657"/>
      <c r="G197" s="657"/>
    </row>
    <row r="198" spans="1:7" ht="12.75" customHeight="1" x14ac:dyDescent="0.2">
      <c r="A198" s="760" t="s">
        <v>333</v>
      </c>
      <c r="B198" s="761"/>
      <c r="C198" s="761"/>
      <c r="D198" s="761"/>
      <c r="E198" s="761"/>
      <c r="F198" s="761"/>
      <c r="G198" s="761"/>
    </row>
    <row r="199" spans="1:7" x14ac:dyDescent="0.2">
      <c r="A199" s="761"/>
      <c r="B199" s="761"/>
      <c r="C199" s="761"/>
      <c r="D199" s="761"/>
      <c r="E199" s="761"/>
      <c r="F199" s="761"/>
      <c r="G199" s="761"/>
    </row>
    <row r="200" spans="1:7" x14ac:dyDescent="0.2">
      <c r="A200" s="761"/>
      <c r="B200" s="761"/>
      <c r="C200" s="761"/>
      <c r="D200" s="761"/>
      <c r="E200" s="761"/>
      <c r="F200" s="761"/>
      <c r="G200" s="761"/>
    </row>
    <row r="201" spans="1:7" x14ac:dyDescent="0.2">
      <c r="A201" s="761"/>
      <c r="B201" s="761"/>
      <c r="C201" s="761"/>
      <c r="D201" s="761"/>
      <c r="E201" s="761"/>
      <c r="F201" s="761"/>
      <c r="G201" s="761"/>
    </row>
    <row r="202" spans="1:7" x14ac:dyDescent="0.2">
      <c r="A202" s="761"/>
      <c r="B202" s="761"/>
      <c r="C202" s="761"/>
      <c r="D202" s="761"/>
      <c r="E202" s="761"/>
      <c r="F202" s="761"/>
      <c r="G202" s="761"/>
    </row>
    <row r="203" spans="1:7" x14ac:dyDescent="0.2">
      <c r="A203" s="312"/>
      <c r="B203" s="657"/>
      <c r="C203" s="657"/>
      <c r="D203" s="657"/>
      <c r="E203" s="657"/>
      <c r="F203" s="657"/>
      <c r="G203" s="657"/>
    </row>
    <row r="204" spans="1:7" ht="12.75" customHeight="1" x14ac:dyDescent="0.2">
      <c r="A204" s="789" t="s">
        <v>1171</v>
      </c>
      <c r="B204" s="765"/>
      <c r="C204" s="765"/>
      <c r="D204" s="765"/>
      <c r="E204" s="765"/>
      <c r="F204" s="765"/>
      <c r="G204" s="765"/>
    </row>
    <row r="205" spans="1:7" ht="12.75" customHeight="1" x14ac:dyDescent="0.2">
      <c r="A205" s="765"/>
      <c r="B205" s="765"/>
      <c r="C205" s="765"/>
      <c r="D205" s="765"/>
      <c r="E205" s="765"/>
      <c r="F205" s="765"/>
      <c r="G205" s="765"/>
    </row>
    <row r="206" spans="1:7" ht="12.75" customHeight="1" x14ac:dyDescent="0.2">
      <c r="A206" s="765"/>
      <c r="B206" s="765"/>
      <c r="C206" s="765"/>
      <c r="D206" s="765"/>
      <c r="E206" s="765"/>
      <c r="F206" s="765"/>
      <c r="G206" s="765"/>
    </row>
    <row r="207" spans="1:7" ht="25.5" customHeight="1" thickBot="1" x14ac:dyDescent="0.25">
      <c r="A207" s="764" t="s">
        <v>334</v>
      </c>
      <c r="B207" s="765"/>
      <c r="C207" s="765"/>
      <c r="D207" s="765"/>
      <c r="E207" s="779"/>
      <c r="F207" s="779"/>
      <c r="G207" s="779"/>
    </row>
    <row r="208" spans="1:7" ht="25.5" customHeight="1" thickBot="1" x14ac:dyDescent="0.25">
      <c r="A208" s="764" t="s">
        <v>335</v>
      </c>
      <c r="B208" s="765"/>
      <c r="C208" s="765"/>
      <c r="D208" s="765"/>
      <c r="E208" s="779"/>
      <c r="F208" s="779"/>
      <c r="G208" s="779"/>
    </row>
    <row r="209" spans="1:7" ht="25.5" customHeight="1" thickBot="1" x14ac:dyDescent="0.25">
      <c r="A209" s="764" t="s">
        <v>336</v>
      </c>
      <c r="B209" s="765"/>
      <c r="C209" s="765"/>
      <c r="D209" s="765"/>
      <c r="E209" s="779"/>
      <c r="F209" s="779"/>
      <c r="G209" s="779"/>
    </row>
    <row r="217" spans="1:7" ht="13.5" thickBot="1" x14ac:dyDescent="0.25"/>
    <row r="218" spans="1:7" ht="24" thickBot="1" x14ac:dyDescent="0.4">
      <c r="A218" s="742" t="s">
        <v>542</v>
      </c>
      <c r="B218" s="743"/>
      <c r="C218" s="743"/>
      <c r="D218" s="743"/>
      <c r="E218" s="743"/>
      <c r="F218" s="743"/>
      <c r="G218" s="744"/>
    </row>
    <row r="219" spans="1:7" ht="25.5" customHeight="1" thickBot="1" x14ac:dyDescent="0.25">
      <c r="A219" s="729" t="s">
        <v>543</v>
      </c>
      <c r="B219" s="730"/>
      <c r="C219" s="731"/>
      <c r="D219" s="801"/>
      <c r="E219" s="732"/>
      <c r="F219" s="732"/>
      <c r="G219" s="733"/>
    </row>
    <row r="220" spans="1:7" ht="25.5" customHeight="1" thickBot="1" x14ac:dyDescent="0.25">
      <c r="A220" s="734" t="s">
        <v>545</v>
      </c>
      <c r="B220" s="735"/>
      <c r="C220" s="736"/>
      <c r="D220" s="798"/>
      <c r="E220" s="799"/>
      <c r="F220" s="799"/>
      <c r="G220" s="800"/>
    </row>
    <row r="221" spans="1:7" ht="12.75" customHeight="1" thickBot="1" x14ac:dyDescent="0.25">
      <c r="A221" s="359"/>
      <c r="B221" s="360"/>
      <c r="C221" s="360"/>
      <c r="D221" s="352"/>
      <c r="E221" s="352"/>
      <c r="F221" s="352"/>
      <c r="G221" s="355"/>
    </row>
    <row r="222" spans="1:7" ht="12.75" customHeight="1" thickBot="1" x14ac:dyDescent="0.25">
      <c r="A222" s="344"/>
      <c r="B222" s="344"/>
      <c r="C222" s="344"/>
      <c r="D222" s="660"/>
      <c r="E222" s="660"/>
      <c r="F222" s="660"/>
      <c r="G222" s="660"/>
    </row>
    <row r="223" spans="1:7" ht="16.5" thickBot="1" x14ac:dyDescent="0.3">
      <c r="A223" s="739" t="s">
        <v>544</v>
      </c>
      <c r="B223" s="796"/>
      <c r="C223" s="796"/>
      <c r="D223" s="797"/>
      <c r="E223" s="352"/>
      <c r="F223" s="352"/>
      <c r="G223" s="352"/>
    </row>
    <row r="224" spans="1:7" ht="25.5" customHeight="1" thickBot="1" x14ac:dyDescent="0.25">
      <c r="A224" s="729" t="s">
        <v>546</v>
      </c>
      <c r="B224" s="730"/>
      <c r="C224" s="731"/>
      <c r="D224" s="801"/>
      <c r="E224" s="732"/>
      <c r="F224" s="732"/>
      <c r="G224" s="733"/>
    </row>
    <row r="225" spans="1:7" ht="25.5" customHeight="1" thickBot="1" x14ac:dyDescent="0.25">
      <c r="A225" s="734" t="s">
        <v>547</v>
      </c>
      <c r="B225" s="735"/>
      <c r="C225" s="736"/>
      <c r="D225" s="798"/>
      <c r="E225" s="799"/>
      <c r="F225" s="799"/>
      <c r="G225" s="800"/>
    </row>
    <row r="226" spans="1:7" ht="12.75" customHeight="1" thickBot="1" x14ac:dyDescent="0.25">
      <c r="A226" s="353"/>
      <c r="B226" s="354"/>
      <c r="C226" s="354"/>
      <c r="D226" s="352"/>
      <c r="E226" s="352"/>
      <c r="F226" s="352"/>
      <c r="G226" s="355"/>
    </row>
    <row r="227" spans="1:7" ht="12.75" customHeight="1" thickBot="1" x14ac:dyDescent="0.25">
      <c r="A227" s="344"/>
      <c r="B227" s="344"/>
      <c r="C227" s="344"/>
      <c r="D227" s="660"/>
      <c r="E227" s="660"/>
      <c r="F227" s="660"/>
      <c r="G227" s="660"/>
    </row>
    <row r="228" spans="1:7" ht="16.5" thickBot="1" x14ac:dyDescent="0.3">
      <c r="A228" s="739" t="s">
        <v>562</v>
      </c>
      <c r="B228" s="796"/>
      <c r="C228" s="796"/>
      <c r="D228" s="797"/>
      <c r="E228" s="352"/>
      <c r="F228" s="352"/>
      <c r="G228" s="352"/>
    </row>
    <row r="229" spans="1:7" ht="25.5" customHeight="1" thickBot="1" x14ac:dyDescent="0.25">
      <c r="A229" s="729" t="s">
        <v>548</v>
      </c>
      <c r="B229" s="730"/>
      <c r="C229" s="731"/>
      <c r="D229" s="801"/>
      <c r="E229" s="732"/>
      <c r="F229" s="732"/>
      <c r="G229" s="733"/>
    </row>
    <row r="230" spans="1:7" ht="25.5" customHeight="1" thickBot="1" x14ac:dyDescent="0.25">
      <c r="A230" s="734" t="s">
        <v>549</v>
      </c>
      <c r="B230" s="735"/>
      <c r="C230" s="736"/>
      <c r="D230" s="798"/>
      <c r="E230" s="799"/>
      <c r="F230" s="799"/>
      <c r="G230" s="800"/>
    </row>
    <row r="231" spans="1:7" ht="25.5" customHeight="1" thickBot="1" x14ac:dyDescent="0.25">
      <c r="A231" s="734" t="s">
        <v>550</v>
      </c>
      <c r="B231" s="735"/>
      <c r="C231" s="736"/>
      <c r="D231" s="798"/>
      <c r="E231" s="799"/>
      <c r="F231" s="799"/>
      <c r="G231" s="800"/>
    </row>
    <row r="232" spans="1:7" ht="25.5" customHeight="1" thickBot="1" x14ac:dyDescent="0.25">
      <c r="A232" s="734" t="s">
        <v>551</v>
      </c>
      <c r="B232" s="735"/>
      <c r="C232" s="736"/>
      <c r="D232" s="798"/>
      <c r="E232" s="799"/>
      <c r="F232" s="799"/>
      <c r="G232" s="800"/>
    </row>
    <row r="233" spans="1:7" ht="25.5" customHeight="1" thickBot="1" x14ac:dyDescent="0.25">
      <c r="A233" s="734" t="s">
        <v>552</v>
      </c>
      <c r="B233" s="735"/>
      <c r="C233" s="736"/>
      <c r="D233" s="798"/>
      <c r="E233" s="799"/>
      <c r="F233" s="799"/>
      <c r="G233" s="800"/>
    </row>
    <row r="234" spans="1:7" ht="25.5" customHeight="1" thickBot="1" x14ac:dyDescent="0.25">
      <c r="A234" s="734" t="s">
        <v>553</v>
      </c>
      <c r="B234" s="735"/>
      <c r="C234" s="736"/>
      <c r="D234" s="798"/>
      <c r="E234" s="799"/>
      <c r="F234" s="799"/>
      <c r="G234" s="800"/>
    </row>
    <row r="235" spans="1:7" ht="25.5" customHeight="1" thickBot="1" x14ac:dyDescent="0.25">
      <c r="A235" s="734" t="s">
        <v>554</v>
      </c>
      <c r="B235" s="735"/>
      <c r="C235" s="736"/>
      <c r="D235" s="798"/>
      <c r="E235" s="799"/>
      <c r="F235" s="799"/>
      <c r="G235" s="800"/>
    </row>
    <row r="236" spans="1:7" ht="25.5" customHeight="1" thickBot="1" x14ac:dyDescent="0.25">
      <c r="A236" s="734" t="s">
        <v>555</v>
      </c>
      <c r="B236" s="735"/>
      <c r="C236" s="736"/>
      <c r="D236" s="798"/>
      <c r="E236" s="799"/>
      <c r="F236" s="799"/>
      <c r="G236" s="800"/>
    </row>
    <row r="237" spans="1:7" ht="25.5" customHeight="1" thickBot="1" x14ac:dyDescent="0.25">
      <c r="A237" s="790" t="s">
        <v>556</v>
      </c>
      <c r="B237" s="791"/>
      <c r="C237" s="791"/>
      <c r="D237" s="792"/>
      <c r="E237" s="793"/>
      <c r="F237" s="794"/>
      <c r="G237" s="795"/>
    </row>
    <row r="238" spans="1:7" ht="25.5" customHeight="1" thickBot="1" x14ac:dyDescent="0.25">
      <c r="A238" s="790" t="s">
        <v>565</v>
      </c>
      <c r="B238" s="791"/>
      <c r="C238" s="791"/>
      <c r="D238" s="792"/>
      <c r="E238" s="793"/>
      <c r="F238" s="794"/>
      <c r="G238" s="795"/>
    </row>
    <row r="239" spans="1:7" ht="25.5" customHeight="1" thickBot="1" x14ac:dyDescent="0.25">
      <c r="A239" s="790" t="s">
        <v>557</v>
      </c>
      <c r="B239" s="791"/>
      <c r="C239" s="791"/>
      <c r="D239" s="792"/>
      <c r="E239" s="793"/>
      <c r="F239" s="794"/>
      <c r="G239" s="795"/>
    </row>
    <row r="240" spans="1:7" ht="25.5" customHeight="1" thickBot="1" x14ac:dyDescent="0.25">
      <c r="A240" s="790" t="s">
        <v>558</v>
      </c>
      <c r="B240" s="791"/>
      <c r="C240" s="791"/>
      <c r="D240" s="792"/>
      <c r="E240" s="793"/>
      <c r="F240" s="794"/>
      <c r="G240" s="795"/>
    </row>
    <row r="241" spans="1:7" ht="25.5" customHeight="1" thickBot="1" x14ac:dyDescent="0.25">
      <c r="A241" s="790" t="s">
        <v>559</v>
      </c>
      <c r="B241" s="791"/>
      <c r="C241" s="791"/>
      <c r="D241" s="792"/>
      <c r="E241" s="793"/>
      <c r="F241" s="794"/>
      <c r="G241" s="795"/>
    </row>
    <row r="242" spans="1:7" ht="25.5" customHeight="1" thickBot="1" x14ac:dyDescent="0.25">
      <c r="A242" s="790" t="s">
        <v>566</v>
      </c>
      <c r="B242" s="791"/>
      <c r="C242" s="791"/>
      <c r="D242" s="792"/>
      <c r="E242" s="793"/>
      <c r="F242" s="794"/>
      <c r="G242" s="795"/>
    </row>
    <row r="243" spans="1:7" ht="25.5" customHeight="1" thickBot="1" x14ac:dyDescent="0.25">
      <c r="A243" s="790" t="s">
        <v>567</v>
      </c>
      <c r="B243" s="791"/>
      <c r="C243" s="791"/>
      <c r="D243" s="792"/>
      <c r="E243" s="793"/>
      <c r="F243" s="794"/>
      <c r="G243" s="795"/>
    </row>
    <row r="244" spans="1:7" ht="12.75" customHeight="1" thickBot="1" x14ac:dyDescent="0.25">
      <c r="A244" s="353"/>
      <c r="B244" s="354"/>
      <c r="C244" s="354"/>
      <c r="D244" s="352"/>
      <c r="E244" s="352"/>
      <c r="F244" s="352"/>
      <c r="G244" s="355"/>
    </row>
    <row r="245" spans="1:7" ht="12.75" customHeight="1" thickBot="1" x14ac:dyDescent="0.25">
      <c r="A245" s="350"/>
      <c r="B245" s="350"/>
      <c r="C245" s="350"/>
      <c r="D245" s="660"/>
      <c r="E245" s="660"/>
      <c r="F245" s="660"/>
      <c r="G245" s="660"/>
    </row>
    <row r="246" spans="1:7" ht="16.5" thickBot="1" x14ac:dyDescent="0.3">
      <c r="A246" s="739" t="s">
        <v>561</v>
      </c>
      <c r="B246" s="796"/>
      <c r="C246" s="796"/>
      <c r="D246" s="797"/>
      <c r="E246" s="352"/>
      <c r="F246" s="352"/>
      <c r="G246" s="352"/>
    </row>
    <row r="247" spans="1:7" ht="25.5" customHeight="1" thickBot="1" x14ac:dyDescent="0.25">
      <c r="A247" s="729" t="s">
        <v>560</v>
      </c>
      <c r="B247" s="730"/>
      <c r="C247" s="731"/>
      <c r="D247" s="801"/>
      <c r="E247" s="732"/>
      <c r="F247" s="732"/>
      <c r="G247" s="733"/>
    </row>
    <row r="248" spans="1:7" ht="25.5" customHeight="1" thickBot="1" x14ac:dyDescent="0.25">
      <c r="A248" s="734" t="s">
        <v>545</v>
      </c>
      <c r="B248" s="735"/>
      <c r="C248" s="736"/>
      <c r="D248" s="798"/>
      <c r="E248" s="799"/>
      <c r="F248" s="799"/>
      <c r="G248" s="800"/>
    </row>
    <row r="249" spans="1:7" ht="12.75" customHeight="1" thickBot="1" x14ac:dyDescent="0.25">
      <c r="A249" s="353"/>
      <c r="B249" s="354"/>
      <c r="C249" s="354"/>
      <c r="D249" s="352"/>
      <c r="E249" s="352"/>
      <c r="F249" s="352"/>
      <c r="G249" s="355"/>
    </row>
    <row r="250" spans="1:7" ht="12.75" customHeight="1" thickBot="1" x14ac:dyDescent="0.25">
      <c r="A250" s="344"/>
      <c r="B250" s="344"/>
      <c r="C250" s="344"/>
      <c r="D250" s="660"/>
      <c r="E250" s="660"/>
      <c r="F250" s="660"/>
      <c r="G250" s="660"/>
    </row>
    <row r="251" spans="1:7" ht="16.5" thickBot="1" x14ac:dyDescent="0.3">
      <c r="A251" s="739" t="s">
        <v>563</v>
      </c>
      <c r="B251" s="796"/>
      <c r="C251" s="796"/>
      <c r="D251" s="797"/>
      <c r="E251" s="352"/>
      <c r="F251" s="352"/>
      <c r="G251" s="352"/>
    </row>
    <row r="252" spans="1:7" ht="25.5" customHeight="1" thickBot="1" x14ac:dyDescent="0.25">
      <c r="A252" s="729" t="s">
        <v>546</v>
      </c>
      <c r="B252" s="730"/>
      <c r="C252" s="731"/>
      <c r="D252" s="801"/>
      <c r="E252" s="732"/>
      <c r="F252" s="732"/>
      <c r="G252" s="733"/>
    </row>
    <row r="253" spans="1:7" ht="25.5" customHeight="1" thickBot="1" x14ac:dyDescent="0.25">
      <c r="A253" s="734" t="s">
        <v>547</v>
      </c>
      <c r="B253" s="735"/>
      <c r="C253" s="736"/>
      <c r="D253" s="798"/>
      <c r="E253" s="799"/>
      <c r="F253" s="799"/>
      <c r="G253" s="800"/>
    </row>
    <row r="254" spans="1:7" ht="12.75" customHeight="1" thickBot="1" x14ac:dyDescent="0.25">
      <c r="A254" s="353"/>
      <c r="B254" s="354"/>
      <c r="C254" s="354"/>
      <c r="D254" s="352"/>
      <c r="E254" s="352"/>
      <c r="F254" s="352"/>
      <c r="G254" s="355"/>
    </row>
    <row r="255" spans="1:7" ht="12.75" customHeight="1" thickBot="1" x14ac:dyDescent="0.25">
      <c r="A255" s="344"/>
      <c r="B255" s="344"/>
      <c r="C255" s="344"/>
      <c r="D255" s="660"/>
      <c r="E255" s="660"/>
      <c r="F255" s="660"/>
      <c r="G255" s="660"/>
    </row>
    <row r="256" spans="1:7" ht="16.5" thickBot="1" x14ac:dyDescent="0.3">
      <c r="A256" s="739" t="s">
        <v>564</v>
      </c>
      <c r="B256" s="796"/>
      <c r="C256" s="796"/>
      <c r="D256" s="797"/>
      <c r="E256" s="352"/>
      <c r="F256" s="352"/>
      <c r="G256" s="352"/>
    </row>
    <row r="257" spans="1:7" ht="25.5" customHeight="1" thickBot="1" x14ac:dyDescent="0.25">
      <c r="A257" s="729" t="s">
        <v>548</v>
      </c>
      <c r="B257" s="730"/>
      <c r="C257" s="731"/>
      <c r="D257" s="801"/>
      <c r="E257" s="732"/>
      <c r="F257" s="732"/>
      <c r="G257" s="733"/>
    </row>
    <row r="258" spans="1:7" ht="25.5" customHeight="1" thickBot="1" x14ac:dyDescent="0.25">
      <c r="A258" s="734" t="s">
        <v>549</v>
      </c>
      <c r="B258" s="735"/>
      <c r="C258" s="736"/>
      <c r="D258" s="798"/>
      <c r="E258" s="799"/>
      <c r="F258" s="799"/>
      <c r="G258" s="800"/>
    </row>
    <row r="259" spans="1:7" ht="25.5" customHeight="1" thickBot="1" x14ac:dyDescent="0.25">
      <c r="A259" s="734" t="s">
        <v>550</v>
      </c>
      <c r="B259" s="735"/>
      <c r="C259" s="736"/>
      <c r="D259" s="798"/>
      <c r="E259" s="799"/>
      <c r="F259" s="799"/>
      <c r="G259" s="800"/>
    </row>
    <row r="260" spans="1:7" ht="25.5" customHeight="1" thickBot="1" x14ac:dyDescent="0.25">
      <c r="A260" s="734" t="s">
        <v>551</v>
      </c>
      <c r="B260" s="735"/>
      <c r="C260" s="736"/>
      <c r="D260" s="798"/>
      <c r="E260" s="799"/>
      <c r="F260" s="799"/>
      <c r="G260" s="800"/>
    </row>
    <row r="261" spans="1:7" ht="25.5" customHeight="1" thickBot="1" x14ac:dyDescent="0.25">
      <c r="A261" s="734" t="s">
        <v>552</v>
      </c>
      <c r="B261" s="735"/>
      <c r="C261" s="736"/>
      <c r="D261" s="798"/>
      <c r="E261" s="799"/>
      <c r="F261" s="799"/>
      <c r="G261" s="800"/>
    </row>
    <row r="262" spans="1:7" ht="25.5" customHeight="1" thickBot="1" x14ac:dyDescent="0.25">
      <c r="A262" s="734" t="s">
        <v>553</v>
      </c>
      <c r="B262" s="735"/>
      <c r="C262" s="736"/>
      <c r="D262" s="798"/>
      <c r="E262" s="799"/>
      <c r="F262" s="799"/>
      <c r="G262" s="800"/>
    </row>
    <row r="263" spans="1:7" ht="25.5" customHeight="1" thickBot="1" x14ac:dyDescent="0.25">
      <c r="A263" s="734" t="s">
        <v>554</v>
      </c>
      <c r="B263" s="735"/>
      <c r="C263" s="736"/>
      <c r="D263" s="798"/>
      <c r="E263" s="799"/>
      <c r="F263" s="799"/>
      <c r="G263" s="800"/>
    </row>
    <row r="264" spans="1:7" ht="25.5" customHeight="1" thickBot="1" x14ac:dyDescent="0.25">
      <c r="A264" s="734" t="s">
        <v>555</v>
      </c>
      <c r="B264" s="735"/>
      <c r="C264" s="736"/>
      <c r="D264" s="798"/>
      <c r="E264" s="799"/>
      <c r="F264" s="799"/>
      <c r="G264" s="800"/>
    </row>
    <row r="265" spans="1:7" ht="25.5" customHeight="1" thickBot="1" x14ac:dyDescent="0.25">
      <c r="A265" s="790" t="s">
        <v>556</v>
      </c>
      <c r="B265" s="791"/>
      <c r="C265" s="791"/>
      <c r="D265" s="792"/>
      <c r="E265" s="793"/>
      <c r="F265" s="794"/>
      <c r="G265" s="795"/>
    </row>
    <row r="266" spans="1:7" ht="25.5" customHeight="1" thickBot="1" x14ac:dyDescent="0.25">
      <c r="A266" s="790" t="s">
        <v>565</v>
      </c>
      <c r="B266" s="791"/>
      <c r="C266" s="791"/>
      <c r="D266" s="792"/>
      <c r="E266" s="793"/>
      <c r="F266" s="794"/>
      <c r="G266" s="795"/>
    </row>
    <row r="267" spans="1:7" ht="25.5" customHeight="1" thickBot="1" x14ac:dyDescent="0.25">
      <c r="A267" s="790" t="s">
        <v>557</v>
      </c>
      <c r="B267" s="791"/>
      <c r="C267" s="791"/>
      <c r="D267" s="792"/>
      <c r="E267" s="793"/>
      <c r="F267" s="794"/>
      <c r="G267" s="795"/>
    </row>
    <row r="268" spans="1:7" ht="25.5" customHeight="1" thickBot="1" x14ac:dyDescent="0.25">
      <c r="A268" s="790" t="s">
        <v>558</v>
      </c>
      <c r="B268" s="791"/>
      <c r="C268" s="791"/>
      <c r="D268" s="792"/>
      <c r="E268" s="793"/>
      <c r="F268" s="794"/>
      <c r="G268" s="795"/>
    </row>
    <row r="269" spans="1:7" ht="25.5" customHeight="1" thickBot="1" x14ac:dyDescent="0.25">
      <c r="A269" s="790" t="s">
        <v>559</v>
      </c>
      <c r="B269" s="791"/>
      <c r="C269" s="791"/>
      <c r="D269" s="792"/>
      <c r="E269" s="793"/>
      <c r="F269" s="794"/>
      <c r="G269" s="795"/>
    </row>
    <row r="270" spans="1:7" ht="13.5" thickBot="1" x14ac:dyDescent="0.25">
      <c r="A270" s="356"/>
      <c r="B270" s="357"/>
      <c r="C270" s="357"/>
      <c r="D270" s="357"/>
      <c r="E270" s="357"/>
      <c r="F270" s="357"/>
      <c r="G270" s="358"/>
    </row>
  </sheetData>
  <sheetProtection algorithmName="SHA-512" hashValue="AAJUQSD8so7V4o772pL0kXqh3I/SyD6DeSEhVuMzNrYoe056vFrBY5/j/h6B6a+FK9uxUcmzsLgRMR1zah86qg==" saltValue="sBLZZMym05r0MeTEW+2Zng==" spinCount="100000" sheet="1" objects="1" scenarios="1" selectLockedCells="1" selectUnlockedCells="1"/>
  <mergeCells count="166">
    <mergeCell ref="E16:G16"/>
    <mergeCell ref="A167:G167"/>
    <mergeCell ref="D159:E159"/>
    <mergeCell ref="D160:E160"/>
    <mergeCell ref="D161:E161"/>
    <mergeCell ref="A157:G157"/>
    <mergeCell ref="A164:G164"/>
    <mergeCell ref="A142:G142"/>
    <mergeCell ref="A144:G146"/>
    <mergeCell ref="A147:G152"/>
    <mergeCell ref="A153:G154"/>
    <mergeCell ref="A119:B119"/>
    <mergeCell ref="C119:D119"/>
    <mergeCell ref="E119:F119"/>
    <mergeCell ref="A120:B120"/>
    <mergeCell ref="C120:D120"/>
    <mergeCell ref="E120:F120"/>
    <mergeCell ref="E105:F105"/>
    <mergeCell ref="A106:B106"/>
    <mergeCell ref="A113:B113"/>
    <mergeCell ref="C113:D113"/>
    <mergeCell ref="E113:F113"/>
    <mergeCell ref="A114:B114"/>
    <mergeCell ref="C114:D114"/>
    <mergeCell ref="A268:E268"/>
    <mergeCell ref="F268:G268"/>
    <mergeCell ref="A105:B105"/>
    <mergeCell ref="C105:D105"/>
    <mergeCell ref="C111:D111"/>
    <mergeCell ref="A101:G101"/>
    <mergeCell ref="A102:B103"/>
    <mergeCell ref="C102:D102"/>
    <mergeCell ref="E102:G102"/>
    <mergeCell ref="C103:D103"/>
    <mergeCell ref="E103:F103"/>
    <mergeCell ref="A104:B104"/>
    <mergeCell ref="C104:D104"/>
    <mergeCell ref="E104:F104"/>
    <mergeCell ref="A209:D209"/>
    <mergeCell ref="E209:G209"/>
    <mergeCell ref="E207:G207"/>
    <mergeCell ref="E208:G208"/>
    <mergeCell ref="A204:G206"/>
    <mergeCell ref="A207:D207"/>
    <mergeCell ref="A208:D208"/>
    <mergeCell ref="E114:F114"/>
    <mergeCell ref="A115:B115"/>
    <mergeCell ref="C115:D115"/>
    <mergeCell ref="C106:D106"/>
    <mergeCell ref="E106:F106"/>
    <mergeCell ref="A107:B107"/>
    <mergeCell ref="C107:D107"/>
    <mergeCell ref="E107:F107"/>
    <mergeCell ref="A108:B108"/>
    <mergeCell ref="C108:D108"/>
    <mergeCell ref="E108:F108"/>
    <mergeCell ref="A109:B109"/>
    <mergeCell ref="C109:D109"/>
    <mergeCell ref="E109:F109"/>
    <mergeCell ref="A110:B110"/>
    <mergeCell ref="C110:D110"/>
    <mergeCell ref="E110:F110"/>
    <mergeCell ref="A111:B111"/>
    <mergeCell ref="E111:F111"/>
    <mergeCell ref="A112:B112"/>
    <mergeCell ref="A122:G123"/>
    <mergeCell ref="A124:G125"/>
    <mergeCell ref="A141:G141"/>
    <mergeCell ref="C112:D112"/>
    <mergeCell ref="E112:F112"/>
    <mergeCell ref="A117:B117"/>
    <mergeCell ref="C117:D117"/>
    <mergeCell ref="E117:F117"/>
    <mergeCell ref="A118:B118"/>
    <mergeCell ref="C118:D118"/>
    <mergeCell ref="E118:F118"/>
    <mergeCell ref="E115:F115"/>
    <mergeCell ref="A116:B116"/>
    <mergeCell ref="C116:D116"/>
    <mergeCell ref="E116:F116"/>
    <mergeCell ref="D225:G225"/>
    <mergeCell ref="B171:G171"/>
    <mergeCell ref="E179:G179"/>
    <mergeCell ref="A181:G184"/>
    <mergeCell ref="A187:G187"/>
    <mergeCell ref="A188:G188"/>
    <mergeCell ref="A190:G190"/>
    <mergeCell ref="A192:G193"/>
    <mergeCell ref="A198:G202"/>
    <mergeCell ref="A263:C263"/>
    <mergeCell ref="D263:G263"/>
    <mergeCell ref="A264:C264"/>
    <mergeCell ref="D264:G264"/>
    <mergeCell ref="A266:E266"/>
    <mergeCell ref="F266:G266"/>
    <mergeCell ref="A267:E267"/>
    <mergeCell ref="F267:G267"/>
    <mergeCell ref="A234:C234"/>
    <mergeCell ref="D234:G234"/>
    <mergeCell ref="A235:C235"/>
    <mergeCell ref="D235:G235"/>
    <mergeCell ref="A236:C236"/>
    <mergeCell ref="D236:G236"/>
    <mergeCell ref="A253:C253"/>
    <mergeCell ref="D253:G253"/>
    <mergeCell ref="D260:G260"/>
    <mergeCell ref="A261:C261"/>
    <mergeCell ref="D261:G261"/>
    <mergeCell ref="A232:C232"/>
    <mergeCell ref="A247:C247"/>
    <mergeCell ref="D247:G247"/>
    <mergeCell ref="A248:C248"/>
    <mergeCell ref="D248:G248"/>
    <mergeCell ref="A252:C252"/>
    <mergeCell ref="D252:G252"/>
    <mergeCell ref="D232:G232"/>
    <mergeCell ref="A233:C233"/>
    <mergeCell ref="D233:G233"/>
    <mergeCell ref="E169:G169"/>
    <mergeCell ref="C173:G173"/>
    <mergeCell ref="F237:G237"/>
    <mergeCell ref="A237:E237"/>
    <mergeCell ref="A238:E238"/>
    <mergeCell ref="F238:G238"/>
    <mergeCell ref="A239:E239"/>
    <mergeCell ref="F239:G239"/>
    <mergeCell ref="A240:E240"/>
    <mergeCell ref="F240:G240"/>
    <mergeCell ref="A229:C229"/>
    <mergeCell ref="D229:G229"/>
    <mergeCell ref="A230:C230"/>
    <mergeCell ref="D230:G230"/>
    <mergeCell ref="A231:C231"/>
    <mergeCell ref="D231:G231"/>
    <mergeCell ref="A218:G218"/>
    <mergeCell ref="A219:C219"/>
    <mergeCell ref="D219:G219"/>
    <mergeCell ref="A220:C220"/>
    <mergeCell ref="D220:G220"/>
    <mergeCell ref="A224:C224"/>
    <mergeCell ref="D224:G224"/>
    <mergeCell ref="A225:C225"/>
    <mergeCell ref="A269:E269"/>
    <mergeCell ref="F269:G269"/>
    <mergeCell ref="A223:D223"/>
    <mergeCell ref="A228:D228"/>
    <mergeCell ref="A246:D246"/>
    <mergeCell ref="A251:D251"/>
    <mergeCell ref="A256:D256"/>
    <mergeCell ref="A262:C262"/>
    <mergeCell ref="D262:G262"/>
    <mergeCell ref="A241:E241"/>
    <mergeCell ref="F241:G241"/>
    <mergeCell ref="A242:E242"/>
    <mergeCell ref="F242:G242"/>
    <mergeCell ref="A243:E243"/>
    <mergeCell ref="F243:G243"/>
    <mergeCell ref="A265:E265"/>
    <mergeCell ref="F265:G265"/>
    <mergeCell ref="A257:C257"/>
    <mergeCell ref="D257:G257"/>
    <mergeCell ref="A258:C258"/>
    <mergeCell ref="D258:G258"/>
    <mergeCell ref="A259:C259"/>
    <mergeCell ref="D259:G259"/>
    <mergeCell ref="A260:C260"/>
  </mergeCells>
  <printOptions horizontalCentered="1"/>
  <pageMargins left="0.7" right="0.7" top="0.75" bottom="0.75" header="0.3" footer="0.3"/>
  <pageSetup scale="55" firstPageNumber="0" orientation="portrait" horizontalDpi="300" verticalDpi="300" r:id="rId1"/>
  <headerFooter>
    <oddFooter>&amp;C&amp;12propuesta válido por 15 días</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70"/>
  <sheetViews>
    <sheetView topLeftCell="B1" workbookViewId="0">
      <pane ySplit="1" topLeftCell="A2" activePane="bottomLeft" state="frozen"/>
      <selection activeCell="R7" sqref="R7"/>
      <selection pane="bottomLeft" activeCell="B2" sqref="B2"/>
    </sheetView>
  </sheetViews>
  <sheetFormatPr defaultRowHeight="10.5" x14ac:dyDescent="0.15"/>
  <cols>
    <col min="1" max="1" width="0.42578125" style="319" hidden="1" customWidth="1"/>
    <col min="2" max="2" width="46.28515625" style="319" bestFit="1" customWidth="1"/>
    <col min="3" max="3" width="40.28515625" style="319" bestFit="1" customWidth="1"/>
    <col min="4" max="4" width="75.5703125" style="319" bestFit="1" customWidth="1"/>
    <col min="5" max="16384" width="9.140625" style="319"/>
  </cols>
  <sheetData>
    <row r="1" spans="1:4" ht="13.5" thickBot="1" x14ac:dyDescent="0.25">
      <c r="B1" s="830" t="s">
        <v>458</v>
      </c>
      <c r="C1" s="831"/>
      <c r="D1" s="832"/>
    </row>
    <row r="3" spans="1:4" ht="13.5" customHeight="1" thickBot="1" x14ac:dyDescent="0.2">
      <c r="B3" s="825" t="s">
        <v>339</v>
      </c>
      <c r="C3" s="826"/>
      <c r="D3" s="827"/>
    </row>
    <row r="4" spans="1:4" ht="11.25" thickTop="1" x14ac:dyDescent="0.15">
      <c r="A4" s="320" t="s">
        <v>457</v>
      </c>
      <c r="B4" s="320" t="s">
        <v>340</v>
      </c>
      <c r="C4" s="320" t="s">
        <v>341</v>
      </c>
      <c r="D4" s="320" t="s">
        <v>342</v>
      </c>
    </row>
    <row r="5" spans="1:4" x14ac:dyDescent="0.15">
      <c r="A5" s="321" t="s">
        <v>343</v>
      </c>
      <c r="B5" s="321" t="s">
        <v>339</v>
      </c>
      <c r="C5" s="664" t="str">
        <f>IF(Cust_Company="",Cust_FirstName&amp;" "&amp;Cust_LastName,Cust_Company)</f>
        <v xml:space="preserve"> </v>
      </c>
      <c r="D5" s="321" t="s">
        <v>344</v>
      </c>
    </row>
    <row r="6" spans="1:4" x14ac:dyDescent="0.15">
      <c r="A6" s="322" t="s">
        <v>345</v>
      </c>
      <c r="B6" s="361" t="s">
        <v>568</v>
      </c>
      <c r="C6" s="508"/>
      <c r="D6" s="322" t="s">
        <v>346</v>
      </c>
    </row>
    <row r="7" spans="1:4" x14ac:dyDescent="0.15">
      <c r="A7" s="322" t="s">
        <v>347</v>
      </c>
      <c r="B7" s="361" t="s">
        <v>569</v>
      </c>
      <c r="C7" s="508"/>
      <c r="D7" s="322" t="s">
        <v>348</v>
      </c>
    </row>
    <row r="8" spans="1:4" x14ac:dyDescent="0.15">
      <c r="A8" s="322" t="s">
        <v>349</v>
      </c>
      <c r="B8" s="322" t="s">
        <v>22</v>
      </c>
      <c r="C8" s="665" t="str">
        <f>IF(Cust_Address="","",IF(Cust_Colonia="",Cust_Address,Cust_Address&amp;", Col. "&amp;Cust_Colonia))</f>
        <v/>
      </c>
      <c r="D8" s="339" t="s">
        <v>493</v>
      </c>
    </row>
    <row r="9" spans="1:4" x14ac:dyDescent="0.15">
      <c r="A9" s="322" t="s">
        <v>350</v>
      </c>
      <c r="B9" s="322" t="s">
        <v>23</v>
      </c>
      <c r="C9" s="665" t="str">
        <f>IF(Cust_City="","",Cust_City)</f>
        <v/>
      </c>
      <c r="D9" s="339" t="s">
        <v>494</v>
      </c>
    </row>
    <row r="10" spans="1:4" x14ac:dyDescent="0.15">
      <c r="A10" s="322" t="s">
        <v>351</v>
      </c>
      <c r="B10" s="322" t="s">
        <v>24</v>
      </c>
      <c r="C10" s="665" t="str">
        <f>IF(Cust_State="","",Cust_State)</f>
        <v>Gto.</v>
      </c>
      <c r="D10" s="339" t="s">
        <v>495</v>
      </c>
    </row>
    <row r="11" spans="1:4" x14ac:dyDescent="0.15">
      <c r="A11" s="322" t="s">
        <v>352</v>
      </c>
      <c r="B11" s="322" t="s">
        <v>25</v>
      </c>
      <c r="C11" s="665" t="str">
        <f>IF(Cust_Zip="","",Cust_Zip)</f>
        <v/>
      </c>
      <c r="D11" s="339" t="s">
        <v>496</v>
      </c>
    </row>
    <row r="12" spans="1:4" x14ac:dyDescent="0.15">
      <c r="A12" s="322" t="s">
        <v>353</v>
      </c>
      <c r="B12" s="322" t="s">
        <v>425</v>
      </c>
      <c r="C12" s="666"/>
      <c r="D12" s="322" t="s">
        <v>354</v>
      </c>
    </row>
    <row r="13" spans="1:4" x14ac:dyDescent="0.15">
      <c r="A13" s="322" t="s">
        <v>355</v>
      </c>
      <c r="B13" s="322" t="s">
        <v>424</v>
      </c>
      <c r="C13" s="666"/>
      <c r="D13" s="322" t="s">
        <v>356</v>
      </c>
    </row>
    <row r="14" spans="1:4" x14ac:dyDescent="0.15">
      <c r="A14" s="322" t="s">
        <v>357</v>
      </c>
      <c r="B14" s="322" t="s">
        <v>426</v>
      </c>
      <c r="C14" s="455" t="s">
        <v>358</v>
      </c>
      <c r="D14" s="322" t="s">
        <v>359</v>
      </c>
    </row>
    <row r="15" spans="1:4" x14ac:dyDescent="0.15">
      <c r="A15" s="322" t="s">
        <v>360</v>
      </c>
      <c r="B15" s="322" t="s">
        <v>427</v>
      </c>
      <c r="C15" s="667"/>
      <c r="D15" s="322" t="s">
        <v>361</v>
      </c>
    </row>
    <row r="16" spans="1:4" x14ac:dyDescent="0.15">
      <c r="A16" s="322" t="s">
        <v>362</v>
      </c>
      <c r="B16" s="322" t="s">
        <v>428</v>
      </c>
      <c r="C16" s="667"/>
      <c r="D16" s="349" t="s">
        <v>518</v>
      </c>
    </row>
    <row r="17" spans="1:4" x14ac:dyDescent="0.15">
      <c r="A17" s="322" t="s">
        <v>363</v>
      </c>
      <c r="B17" s="322" t="s">
        <v>429</v>
      </c>
      <c r="C17" s="667"/>
      <c r="D17" s="322" t="s">
        <v>364</v>
      </c>
    </row>
    <row r="18" spans="1:4" x14ac:dyDescent="0.15">
      <c r="A18" s="322" t="s">
        <v>365</v>
      </c>
      <c r="B18" s="322" t="s">
        <v>430</v>
      </c>
      <c r="C18" s="668">
        <f>Cust_LeaseTermYears</f>
        <v>15</v>
      </c>
      <c r="D18" s="339" t="s">
        <v>497</v>
      </c>
    </row>
    <row r="19" spans="1:4" x14ac:dyDescent="0.15">
      <c r="A19" s="322" t="s">
        <v>432</v>
      </c>
      <c r="B19" s="322" t="s">
        <v>236</v>
      </c>
      <c r="C19" s="669">
        <f>Cust_SavingsRate</f>
        <v>0.2</v>
      </c>
      <c r="D19" s="322" t="s">
        <v>434</v>
      </c>
    </row>
    <row r="20" spans="1:4" x14ac:dyDescent="0.15">
      <c r="A20" s="322" t="s">
        <v>366</v>
      </c>
      <c r="B20" s="322" t="s">
        <v>431</v>
      </c>
      <c r="C20" s="670">
        <f>Sys_kWhPerYear</f>
        <v>5738.0070962362506</v>
      </c>
      <c r="D20" s="322" t="s">
        <v>367</v>
      </c>
    </row>
    <row r="21" spans="1:4" x14ac:dyDescent="0.15">
      <c r="A21" s="322" t="s">
        <v>368</v>
      </c>
      <c r="B21" s="322" t="s">
        <v>28</v>
      </c>
      <c r="C21" s="670">
        <f>Cust_InitialPymt</f>
        <v>0</v>
      </c>
      <c r="D21" s="339" t="s">
        <v>492</v>
      </c>
    </row>
    <row r="22" spans="1:4" x14ac:dyDescent="0.15">
      <c r="A22" s="322"/>
      <c r="B22" s="519" t="s">
        <v>1013</v>
      </c>
      <c r="C22" s="670">
        <f>Cust_TotalPymtAtTermEnd</f>
        <v>100</v>
      </c>
      <c r="D22" s="519" t="s">
        <v>1017</v>
      </c>
    </row>
    <row r="23" spans="1:4" x14ac:dyDescent="0.15">
      <c r="A23" s="322" t="s">
        <v>369</v>
      </c>
      <c r="B23" s="322" t="s">
        <v>433</v>
      </c>
      <c r="C23" s="670">
        <f>IF(Sys_kWhPerYear=0,"",Savings!AB6/12)</f>
        <v>2082.8194316161321</v>
      </c>
      <c r="D23" s="339" t="s">
        <v>491</v>
      </c>
    </row>
    <row r="24" spans="1:4" x14ac:dyDescent="0.15">
      <c r="A24" s="323" t="s">
        <v>370</v>
      </c>
      <c r="B24" s="323" t="s">
        <v>435</v>
      </c>
      <c r="C24" s="671">
        <f>FinYrIncr</f>
        <v>3.5000000000000003E-2</v>
      </c>
      <c r="D24" s="338" t="s">
        <v>498</v>
      </c>
    </row>
    <row r="25" spans="1:4" x14ac:dyDescent="0.15">
      <c r="A25" s="324"/>
      <c r="B25" s="329"/>
      <c r="C25" s="325"/>
      <c r="D25" s="326"/>
    </row>
    <row r="26" spans="1:4" x14ac:dyDescent="0.15">
      <c r="A26" s="328"/>
      <c r="B26" s="330" t="s">
        <v>371</v>
      </c>
      <c r="C26" s="327"/>
      <c r="D26" s="326"/>
    </row>
    <row r="27" spans="1:4" x14ac:dyDescent="0.15">
      <c r="A27" s="321" t="s">
        <v>372</v>
      </c>
      <c r="B27" s="321" t="s">
        <v>437</v>
      </c>
      <c r="C27" s="672"/>
      <c r="D27" s="321" t="s">
        <v>373</v>
      </c>
    </row>
    <row r="28" spans="1:4" x14ac:dyDescent="0.15">
      <c r="A28" s="323" t="s">
        <v>374</v>
      </c>
      <c r="B28" s="362" t="s">
        <v>570</v>
      </c>
      <c r="C28" s="673"/>
      <c r="D28" s="323" t="s">
        <v>375</v>
      </c>
    </row>
    <row r="29" spans="1:4" x14ac:dyDescent="0.15">
      <c r="A29" s="324"/>
      <c r="B29" s="329"/>
      <c r="C29" s="329"/>
      <c r="D29" s="326"/>
    </row>
    <row r="30" spans="1:4" x14ac:dyDescent="0.15">
      <c r="A30" s="328"/>
      <c r="B30" s="330" t="s">
        <v>376</v>
      </c>
      <c r="C30" s="329"/>
      <c r="D30" s="326"/>
    </row>
    <row r="31" spans="1:4" x14ac:dyDescent="0.15">
      <c r="A31" s="321" t="s">
        <v>377</v>
      </c>
      <c r="B31" s="321" t="s">
        <v>438</v>
      </c>
      <c r="C31" s="674"/>
      <c r="D31" s="321" t="s">
        <v>378</v>
      </c>
    </row>
    <row r="32" spans="1:4" x14ac:dyDescent="0.15">
      <c r="A32" s="322" t="s">
        <v>379</v>
      </c>
      <c r="B32" s="322" t="s">
        <v>439</v>
      </c>
      <c r="C32" s="667"/>
      <c r="D32" s="349" t="s">
        <v>519</v>
      </c>
    </row>
    <row r="33" spans="1:4" x14ac:dyDescent="0.15">
      <c r="A33" s="322" t="s">
        <v>380</v>
      </c>
      <c r="B33" s="322" t="s">
        <v>445</v>
      </c>
      <c r="C33" s="667"/>
      <c r="D33" s="322" t="s">
        <v>381</v>
      </c>
    </row>
    <row r="34" spans="1:4" x14ac:dyDescent="0.15">
      <c r="A34" s="322" t="s">
        <v>382</v>
      </c>
      <c r="B34" s="322" t="s">
        <v>441</v>
      </c>
      <c r="C34" s="666"/>
      <c r="D34" s="322" t="s">
        <v>383</v>
      </c>
    </row>
    <row r="35" spans="1:4" x14ac:dyDescent="0.15">
      <c r="A35" s="322" t="s">
        <v>384</v>
      </c>
      <c r="B35" s="322" t="s">
        <v>442</v>
      </c>
      <c r="C35" s="666"/>
      <c r="D35" s="322" t="s">
        <v>385</v>
      </c>
    </row>
    <row r="36" spans="1:4" x14ac:dyDescent="0.15">
      <c r="A36" s="322" t="s">
        <v>386</v>
      </c>
      <c r="B36" s="322" t="s">
        <v>443</v>
      </c>
      <c r="C36" s="666"/>
      <c r="D36" s="349" t="s">
        <v>504</v>
      </c>
    </row>
    <row r="37" spans="1:4" x14ac:dyDescent="0.15">
      <c r="A37" s="322" t="s">
        <v>387</v>
      </c>
      <c r="B37" s="322" t="s">
        <v>444</v>
      </c>
      <c r="C37" s="667"/>
      <c r="D37" s="322" t="s">
        <v>388</v>
      </c>
    </row>
    <row r="38" spans="1:4" x14ac:dyDescent="0.15">
      <c r="A38" s="322" t="s">
        <v>389</v>
      </c>
      <c r="B38" s="322" t="s">
        <v>440</v>
      </c>
      <c r="C38" s="666"/>
      <c r="D38" s="322" t="s">
        <v>390</v>
      </c>
    </row>
    <row r="39" spans="1:4" x14ac:dyDescent="0.15">
      <c r="A39" s="322" t="s">
        <v>391</v>
      </c>
      <c r="B39" s="322" t="s">
        <v>506</v>
      </c>
      <c r="C39" s="667"/>
      <c r="D39" s="322" t="s">
        <v>392</v>
      </c>
    </row>
    <row r="40" spans="1:4" x14ac:dyDescent="0.15">
      <c r="A40" s="322" t="s">
        <v>393</v>
      </c>
      <c r="B40" s="322" t="s">
        <v>507</v>
      </c>
      <c r="C40" s="667"/>
      <c r="D40" s="349" t="s">
        <v>520</v>
      </c>
    </row>
    <row r="41" spans="1:4" x14ac:dyDescent="0.15">
      <c r="A41" s="322" t="s">
        <v>394</v>
      </c>
      <c r="B41" s="322" t="s">
        <v>508</v>
      </c>
      <c r="C41" s="667"/>
      <c r="D41" s="322" t="s">
        <v>395</v>
      </c>
    </row>
    <row r="42" spans="1:4" x14ac:dyDescent="0.15">
      <c r="A42" s="322" t="s">
        <v>396</v>
      </c>
      <c r="B42" s="322" t="s">
        <v>509</v>
      </c>
      <c r="C42" s="666"/>
      <c r="D42" s="322" t="s">
        <v>397</v>
      </c>
    </row>
    <row r="43" spans="1:4" x14ac:dyDescent="0.15">
      <c r="A43" s="322" t="s">
        <v>398</v>
      </c>
      <c r="B43" s="322" t="s">
        <v>510</v>
      </c>
      <c r="C43" s="666"/>
      <c r="D43" s="322" t="s">
        <v>399</v>
      </c>
    </row>
    <row r="44" spans="1:4" x14ac:dyDescent="0.15">
      <c r="A44" s="322" t="s">
        <v>400</v>
      </c>
      <c r="B44" s="322" t="s">
        <v>511</v>
      </c>
      <c r="C44" s="666"/>
      <c r="D44" s="349" t="s">
        <v>505</v>
      </c>
    </row>
    <row r="45" spans="1:4" x14ac:dyDescent="0.15">
      <c r="A45" s="323" t="s">
        <v>401</v>
      </c>
      <c r="B45" s="323" t="s">
        <v>512</v>
      </c>
      <c r="C45" s="673"/>
      <c r="D45" s="323" t="s">
        <v>402</v>
      </c>
    </row>
    <row r="48" spans="1:4" ht="13.5" thickBot="1" x14ac:dyDescent="0.25">
      <c r="B48" s="825" t="s">
        <v>403</v>
      </c>
      <c r="C48" s="828"/>
      <c r="D48" s="829"/>
    </row>
    <row r="49" spans="1:4" ht="11.25" thickTop="1" x14ac:dyDescent="0.15">
      <c r="A49" s="320" t="s">
        <v>457</v>
      </c>
      <c r="B49" s="320" t="s">
        <v>340</v>
      </c>
      <c r="C49" s="320" t="s">
        <v>341</v>
      </c>
      <c r="D49" s="320" t="s">
        <v>342</v>
      </c>
    </row>
    <row r="50" spans="1:4" x14ac:dyDescent="0.15">
      <c r="A50" s="321" t="s">
        <v>404</v>
      </c>
      <c r="B50" s="321" t="s">
        <v>403</v>
      </c>
      <c r="C50" s="672"/>
      <c r="D50" s="321" t="s">
        <v>405</v>
      </c>
    </row>
    <row r="51" spans="1:4" x14ac:dyDescent="0.15">
      <c r="A51" s="323" t="s">
        <v>406</v>
      </c>
      <c r="B51" s="323" t="s">
        <v>446</v>
      </c>
      <c r="C51" s="675"/>
      <c r="D51" s="323" t="s">
        <v>407</v>
      </c>
    </row>
    <row r="52" spans="1:4" x14ac:dyDescent="0.15">
      <c r="A52" s="324"/>
      <c r="B52" s="329"/>
      <c r="C52" s="327"/>
      <c r="D52" s="326"/>
    </row>
    <row r="53" spans="1:4" x14ac:dyDescent="0.15">
      <c r="A53" s="328"/>
      <c r="B53" s="330" t="s">
        <v>408</v>
      </c>
      <c r="C53" s="327"/>
      <c r="D53" s="326"/>
    </row>
    <row r="54" spans="1:4" x14ac:dyDescent="0.15">
      <c r="A54" s="321" t="s">
        <v>409</v>
      </c>
      <c r="B54" s="321" t="s">
        <v>447</v>
      </c>
      <c r="C54" s="672"/>
      <c r="D54" s="321" t="s">
        <v>373</v>
      </c>
    </row>
    <row r="55" spans="1:4" x14ac:dyDescent="0.15">
      <c r="A55" s="323" t="s">
        <v>410</v>
      </c>
      <c r="B55" s="362" t="s">
        <v>534</v>
      </c>
      <c r="C55" s="673"/>
      <c r="D55" s="323" t="s">
        <v>375</v>
      </c>
    </row>
    <row r="56" spans="1:4" x14ac:dyDescent="0.15">
      <c r="A56" s="324"/>
      <c r="B56" s="329"/>
      <c r="C56" s="327"/>
      <c r="D56" s="326"/>
    </row>
    <row r="57" spans="1:4" x14ac:dyDescent="0.15">
      <c r="A57" s="328"/>
      <c r="B57" s="330" t="s">
        <v>411</v>
      </c>
      <c r="C57" s="327"/>
      <c r="D57" s="326"/>
    </row>
    <row r="58" spans="1:4" x14ac:dyDescent="0.15">
      <c r="A58" s="321" t="s">
        <v>412</v>
      </c>
      <c r="B58" s="321" t="s">
        <v>450</v>
      </c>
      <c r="C58" s="674"/>
      <c r="D58" s="321" t="s">
        <v>378</v>
      </c>
    </row>
    <row r="59" spans="1:4" x14ac:dyDescent="0.15">
      <c r="A59" s="322" t="s">
        <v>413</v>
      </c>
      <c r="B59" s="322" t="s">
        <v>451</v>
      </c>
      <c r="C59" s="667"/>
      <c r="D59" s="349" t="s">
        <v>519</v>
      </c>
    </row>
    <row r="60" spans="1:4" x14ac:dyDescent="0.15">
      <c r="A60" s="322" t="s">
        <v>414</v>
      </c>
      <c r="B60" s="322" t="s">
        <v>452</v>
      </c>
      <c r="C60" s="667"/>
      <c r="D60" s="322" t="s">
        <v>381</v>
      </c>
    </row>
    <row r="61" spans="1:4" x14ac:dyDescent="0.15">
      <c r="A61" s="322" t="s">
        <v>415</v>
      </c>
      <c r="B61" s="322" t="s">
        <v>453</v>
      </c>
      <c r="C61" s="666"/>
      <c r="D61" s="322" t="s">
        <v>383</v>
      </c>
    </row>
    <row r="62" spans="1:4" x14ac:dyDescent="0.15">
      <c r="A62" s="322" t="s">
        <v>416</v>
      </c>
      <c r="B62" s="322" t="s">
        <v>454</v>
      </c>
      <c r="C62" s="666"/>
      <c r="D62" s="322" t="s">
        <v>385</v>
      </c>
    </row>
    <row r="63" spans="1:4" x14ac:dyDescent="0.15">
      <c r="A63" s="322" t="s">
        <v>417</v>
      </c>
      <c r="B63" s="322" t="s">
        <v>455</v>
      </c>
      <c r="C63" s="666"/>
      <c r="D63" s="349" t="s">
        <v>504</v>
      </c>
    </row>
    <row r="64" spans="1:4" x14ac:dyDescent="0.15">
      <c r="A64" s="322" t="s">
        <v>418</v>
      </c>
      <c r="B64" s="322" t="s">
        <v>456</v>
      </c>
      <c r="C64" s="667"/>
      <c r="D64" s="322" t="s">
        <v>388</v>
      </c>
    </row>
    <row r="65" spans="1:4" x14ac:dyDescent="0.15">
      <c r="A65" s="322" t="s">
        <v>448</v>
      </c>
      <c r="B65" s="322" t="s">
        <v>449</v>
      </c>
      <c r="C65" s="666"/>
      <c r="D65" s="322" t="s">
        <v>390</v>
      </c>
    </row>
    <row r="66" spans="1:4" x14ac:dyDescent="0.15">
      <c r="A66" s="322" t="s">
        <v>419</v>
      </c>
      <c r="B66" s="322" t="s">
        <v>513</v>
      </c>
      <c r="C66" s="667"/>
      <c r="D66" s="322" t="s">
        <v>392</v>
      </c>
    </row>
    <row r="67" spans="1:4" x14ac:dyDescent="0.15">
      <c r="A67" s="322" t="s">
        <v>420</v>
      </c>
      <c r="B67" s="322" t="s">
        <v>514</v>
      </c>
      <c r="C67" s="667"/>
      <c r="D67" s="349" t="s">
        <v>520</v>
      </c>
    </row>
    <row r="68" spans="1:4" x14ac:dyDescent="0.15">
      <c r="A68" s="322" t="s">
        <v>421</v>
      </c>
      <c r="B68" s="322" t="s">
        <v>515</v>
      </c>
      <c r="C68" s="667"/>
      <c r="D68" s="322" t="s">
        <v>395</v>
      </c>
    </row>
    <row r="69" spans="1:4" x14ac:dyDescent="0.15">
      <c r="A69" s="322" t="s">
        <v>422</v>
      </c>
      <c r="B69" s="322" t="s">
        <v>516</v>
      </c>
      <c r="C69" s="666"/>
      <c r="D69" s="322" t="s">
        <v>397</v>
      </c>
    </row>
    <row r="70" spans="1:4" x14ac:dyDescent="0.15">
      <c r="A70" s="323" t="s">
        <v>423</v>
      </c>
      <c r="B70" s="323" t="s">
        <v>517</v>
      </c>
      <c r="C70" s="675"/>
      <c r="D70" s="323" t="s">
        <v>399</v>
      </c>
    </row>
  </sheetData>
  <sheetProtection algorithmName="SHA-512" hashValue="dFAkn03NB84Kc7i4kBNDYDBqi3CvUFdckyZlvIZQYk9G+LLDhHS4cNQus54Mqm3cdKwVHq8sssbQRA+sRe5eBg==" saltValue="Jz7NvSpfZhw8DsqtG1uC8Q==" spinCount="100000" sheet="1" objects="1" scenarios="1"/>
  <mergeCells count="3">
    <mergeCell ref="B3:D3"/>
    <mergeCell ref="B48:D48"/>
    <mergeCell ref="B1:D1"/>
  </mergeCells>
  <dataValidations disablePrompts="1" count="1">
    <dataValidation type="list" allowBlank="1" showInputMessage="1" showErrorMessage="1" sqref="C14">
      <formula1>"Visa,MasterCard"</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BA47"/>
  <sheetViews>
    <sheetView zoomScaleNormal="100" workbookViewId="0">
      <pane ySplit="3" topLeftCell="A4" activePane="bottomLeft" state="frozen"/>
      <selection activeCell="R7" sqref="R7"/>
      <selection pane="bottomLeft" activeCell="A4" sqref="A4"/>
    </sheetView>
  </sheetViews>
  <sheetFormatPr defaultRowHeight="10.5" x14ac:dyDescent="0.15"/>
  <cols>
    <col min="1" max="1" width="4.7109375" style="179" customWidth="1"/>
    <col min="2" max="2" width="6.7109375" style="179" bestFit="1" customWidth="1"/>
    <col min="3" max="3" width="9.140625" style="179" customWidth="1"/>
    <col min="4" max="4" width="10.5703125" style="179" bestFit="1" customWidth="1"/>
    <col min="5" max="5" width="17.42578125" style="179" bestFit="1" customWidth="1"/>
    <col min="6" max="6" width="11.85546875" style="179" bestFit="1" customWidth="1"/>
    <col min="7" max="7" width="9" style="179" customWidth="1"/>
    <col min="8" max="10" width="4.7109375" style="179" customWidth="1"/>
    <col min="11" max="11" width="9.140625" style="179"/>
    <col min="12" max="12" width="9" style="179" customWidth="1"/>
    <col min="13" max="13" width="12.7109375" style="179" customWidth="1"/>
    <col min="14" max="14" width="12.7109375" style="179" bestFit="1" customWidth="1"/>
    <col min="15" max="15" width="13.85546875" style="179" bestFit="1" customWidth="1"/>
    <col min="16" max="16" width="11.85546875" style="179" bestFit="1" customWidth="1"/>
    <col min="17" max="17" width="11.5703125" style="179" bestFit="1" customWidth="1"/>
    <col min="18" max="21" width="12.7109375" style="179" customWidth="1"/>
    <col min="22" max="22" width="17.42578125" style="179" bestFit="1" customWidth="1"/>
    <col min="23" max="24" width="4.7109375" style="179" customWidth="1"/>
    <col min="25" max="25" width="23.5703125" style="179" bestFit="1" customWidth="1"/>
    <col min="26" max="26" width="9.42578125" style="179" customWidth="1"/>
    <col min="27" max="27" width="11.140625" style="179" bestFit="1" customWidth="1"/>
    <col min="28" max="29" width="4.7109375" style="179" customWidth="1"/>
    <col min="30" max="30" width="6.5703125" style="179" bestFit="1" customWidth="1"/>
    <col min="31" max="31" width="8.42578125" style="179" bestFit="1" customWidth="1"/>
    <col min="32" max="32" width="6.5703125" style="179" customWidth="1"/>
    <col min="33" max="33" width="10.7109375" style="179" customWidth="1"/>
    <col min="34" max="34" width="7.7109375" style="179" bestFit="1" customWidth="1"/>
    <col min="35" max="35" width="9.140625" style="179"/>
    <col min="36" max="36" width="9.5703125" style="179" bestFit="1" customWidth="1"/>
    <col min="37" max="37" width="9.140625" style="179"/>
    <col min="38" max="38" width="10" style="179" customWidth="1"/>
    <col min="39" max="39" width="9.140625" style="179" bestFit="1" customWidth="1"/>
    <col min="40" max="52" width="9.7109375" style="179" customWidth="1"/>
    <col min="53" max="54" width="4.7109375" style="179" customWidth="1"/>
    <col min="55" max="16384" width="9.140625" style="179"/>
  </cols>
  <sheetData>
    <row r="1" spans="1:53" ht="19.5" thickTop="1" thickBot="1" x14ac:dyDescent="0.3">
      <c r="A1" s="845" t="s">
        <v>972</v>
      </c>
      <c r="B1" s="846"/>
      <c r="C1" s="846"/>
      <c r="D1" s="846"/>
      <c r="E1" s="846"/>
      <c r="F1" s="846"/>
      <c r="G1" s="846"/>
      <c r="H1" s="847"/>
      <c r="J1" s="845" t="s">
        <v>975</v>
      </c>
      <c r="K1" s="848"/>
      <c r="L1" s="848"/>
      <c r="M1" s="848"/>
      <c r="N1" s="848"/>
      <c r="O1" s="848"/>
      <c r="P1" s="848"/>
      <c r="Q1" s="848"/>
      <c r="R1" s="848"/>
      <c r="S1" s="848"/>
      <c r="T1" s="848"/>
      <c r="U1" s="848"/>
      <c r="V1" s="848"/>
      <c r="W1" s="849"/>
      <c r="AC1" s="845" t="s">
        <v>973</v>
      </c>
      <c r="AD1" s="846"/>
      <c r="AE1" s="846"/>
      <c r="AF1" s="846"/>
      <c r="AG1" s="846"/>
      <c r="AH1" s="846"/>
      <c r="AI1" s="846"/>
      <c r="AJ1" s="846"/>
      <c r="AK1" s="846"/>
      <c r="AL1" s="846"/>
      <c r="AM1" s="846"/>
      <c r="AN1" s="846"/>
      <c r="AO1" s="846"/>
      <c r="AP1" s="846"/>
      <c r="AQ1" s="846"/>
      <c r="AR1" s="846"/>
      <c r="AS1" s="846"/>
      <c r="AT1" s="846"/>
      <c r="AU1" s="846"/>
      <c r="AV1" s="846"/>
      <c r="AW1" s="846"/>
      <c r="AX1" s="846"/>
      <c r="AY1" s="846"/>
      <c r="AZ1" s="846"/>
      <c r="BA1" s="847"/>
    </row>
    <row r="2" spans="1:53" ht="13.5" customHeight="1" thickTop="1" x14ac:dyDescent="0.2">
      <c r="A2" s="464"/>
      <c r="B2" s="63"/>
      <c r="C2" s="842" t="s">
        <v>806</v>
      </c>
      <c r="D2" s="843"/>
      <c r="E2" s="843"/>
      <c r="F2" s="843"/>
      <c r="G2" s="844"/>
      <c r="H2" s="465"/>
      <c r="J2" s="464"/>
      <c r="K2" s="63"/>
      <c r="L2" s="63"/>
      <c r="M2" s="850" t="s">
        <v>799</v>
      </c>
      <c r="N2" s="851"/>
      <c r="O2" s="851"/>
      <c r="P2" s="851"/>
      <c r="Q2" s="852"/>
      <c r="R2" s="842" t="s">
        <v>800</v>
      </c>
      <c r="S2" s="843"/>
      <c r="T2" s="843"/>
      <c r="U2" s="843"/>
      <c r="V2" s="844"/>
      <c r="W2" s="465"/>
      <c r="AC2" s="464"/>
      <c r="AD2" s="63"/>
      <c r="AE2" s="63"/>
      <c r="AF2" s="63"/>
      <c r="AG2" s="63"/>
      <c r="AH2" s="63"/>
      <c r="AI2" s="63"/>
      <c r="AJ2" s="63"/>
      <c r="AK2" s="63"/>
      <c r="AL2" s="438"/>
      <c r="AM2" s="438"/>
      <c r="AN2" s="836" t="s">
        <v>37</v>
      </c>
      <c r="AO2" s="837"/>
      <c r="AP2" s="837"/>
      <c r="AQ2" s="837"/>
      <c r="AR2" s="838"/>
      <c r="AS2" s="839" t="s">
        <v>38</v>
      </c>
      <c r="AT2" s="840"/>
      <c r="AU2" s="840"/>
      <c r="AV2" s="840"/>
      <c r="AW2" s="840"/>
      <c r="AX2" s="840"/>
      <c r="AY2" s="840"/>
      <c r="AZ2" s="841"/>
      <c r="BA2" s="465"/>
    </row>
    <row r="3" spans="1:53" ht="31.5" customHeight="1" x14ac:dyDescent="0.15">
      <c r="A3" s="464"/>
      <c r="B3" s="364" t="s">
        <v>18</v>
      </c>
      <c r="C3" s="466" t="s">
        <v>28</v>
      </c>
      <c r="D3" s="467" t="s">
        <v>303</v>
      </c>
      <c r="E3" s="467" t="s">
        <v>813</v>
      </c>
      <c r="F3" s="467" t="s">
        <v>27</v>
      </c>
      <c r="G3" s="468" t="s">
        <v>807</v>
      </c>
      <c r="H3" s="465"/>
      <c r="J3" s="464"/>
      <c r="K3" s="364" t="s">
        <v>18</v>
      </c>
      <c r="L3" s="495" t="str">
        <f>"Discount Rate "&amp;TEXT(Z4,"0.0%")</f>
        <v>Discount Rate 15.0%</v>
      </c>
      <c r="M3" s="477" t="s">
        <v>801</v>
      </c>
      <c r="N3" s="478" t="s">
        <v>802</v>
      </c>
      <c r="O3" s="478" t="s">
        <v>804</v>
      </c>
      <c r="P3" s="478" t="s">
        <v>26</v>
      </c>
      <c r="Q3" s="479" t="s">
        <v>805</v>
      </c>
      <c r="R3" s="410" t="s">
        <v>777</v>
      </c>
      <c r="S3" s="411" t="s">
        <v>462</v>
      </c>
      <c r="T3" s="411" t="s">
        <v>26</v>
      </c>
      <c r="U3" s="411" t="s">
        <v>805</v>
      </c>
      <c r="V3" s="412" t="s">
        <v>971</v>
      </c>
      <c r="W3" s="465"/>
      <c r="Y3" s="417" t="s">
        <v>812</v>
      </c>
      <c r="AC3" s="464"/>
      <c r="AD3" s="510" t="s">
        <v>299</v>
      </c>
      <c r="AE3" s="510" t="s">
        <v>884</v>
      </c>
      <c r="AF3" s="510" t="s">
        <v>141</v>
      </c>
      <c r="AG3" s="510" t="s">
        <v>885</v>
      </c>
      <c r="AH3" s="510" t="s">
        <v>970</v>
      </c>
      <c r="AI3" s="510" t="s">
        <v>969</v>
      </c>
      <c r="AJ3" s="510" t="s">
        <v>883</v>
      </c>
      <c r="AK3" s="63"/>
      <c r="AL3" s="171" t="s">
        <v>206</v>
      </c>
      <c r="AM3" s="171" t="s">
        <v>204</v>
      </c>
      <c r="AN3" s="488" t="s">
        <v>205</v>
      </c>
      <c r="AO3" s="489" t="s">
        <v>210</v>
      </c>
      <c r="AP3" s="489" t="s">
        <v>207</v>
      </c>
      <c r="AQ3" s="489" t="s">
        <v>208</v>
      </c>
      <c r="AR3" s="490" t="s">
        <v>16</v>
      </c>
      <c r="AS3" s="491" t="s">
        <v>205</v>
      </c>
      <c r="AT3" s="492" t="s">
        <v>210</v>
      </c>
      <c r="AU3" s="492" t="s">
        <v>207</v>
      </c>
      <c r="AV3" s="492" t="s">
        <v>208</v>
      </c>
      <c r="AW3" s="492" t="s">
        <v>16</v>
      </c>
      <c r="AX3" s="492" t="s">
        <v>462</v>
      </c>
      <c r="AY3" s="492" t="s">
        <v>26</v>
      </c>
      <c r="AZ3" s="493" t="s">
        <v>213</v>
      </c>
      <c r="BA3" s="465"/>
    </row>
    <row r="4" spans="1:53" x14ac:dyDescent="0.15">
      <c r="A4" s="464"/>
      <c r="B4" s="434">
        <v>0</v>
      </c>
      <c r="C4" s="406">
        <f>Cust_InitialPymt</f>
        <v>0</v>
      </c>
      <c r="D4" s="407" t="str">
        <f>IFERROR(IF(B4&gt;Cust_LeaseTermYears,"N/A",MAX(Cust_NominalPymtAtTermEnd,INDEX(Model!$BW$86:$GA$86,1,MATCH(B4*12,Model!$BW$85:$GA$85,0)))+INDEX(Model!$BW$88:$GA$88,1,MATCH(B4*12,Model!$BW$85:$GA$85,0))),"N/A")</f>
        <v>N/A</v>
      </c>
      <c r="E4" s="407" t="str">
        <f>IFERROR(MAX(0,D4-SUM(F4:F$5)),"N/A")</f>
        <v>N/A</v>
      </c>
      <c r="F4" s="365">
        <f>Savings!AE5-C4</f>
        <v>0</v>
      </c>
      <c r="G4" s="418" t="str">
        <f>IF($C$4&lt;=0,"Infinity",IFERROR(IRR(F$4:F4),"N/A"))</f>
        <v>Infinity</v>
      </c>
      <c r="H4" s="465"/>
      <c r="J4" s="464"/>
      <c r="K4" s="434">
        <v>0</v>
      </c>
      <c r="L4" s="409">
        <v>1</v>
      </c>
      <c r="M4" s="406">
        <f>((Sys_CostOfComponentsMXN+Sys_CostOfLaborMXN+Sys_CostOfBOSElectricalMXN+Sys_CostOfBOSMechanicalMXN)/(1-$Z$7))*(1+IVA)</f>
        <v>118904.92553846151</v>
      </c>
      <c r="N4" s="407">
        <v>0</v>
      </c>
      <c r="O4" s="365">
        <v>0</v>
      </c>
      <c r="P4" s="413">
        <f>SUM(M4:O4)</f>
        <v>118904.92553846151</v>
      </c>
      <c r="Q4" s="414">
        <f>P4*$L4</f>
        <v>118904.92553846151</v>
      </c>
      <c r="R4" s="406">
        <f>Cust_InitialPymt</f>
        <v>0</v>
      </c>
      <c r="S4" s="407">
        <v>0</v>
      </c>
      <c r="T4" s="365">
        <f>SUM(R4:S4)</f>
        <v>0</v>
      </c>
      <c r="U4" s="365">
        <f t="shared" ref="U4:U19" si="0">T4*$L4</f>
        <v>0</v>
      </c>
      <c r="V4" s="408">
        <f>Q4-U4</f>
        <v>118904.92553846151</v>
      </c>
      <c r="W4" s="465"/>
      <c r="Y4" s="179" t="s">
        <v>798</v>
      </c>
      <c r="Z4" s="405">
        <v>0.15</v>
      </c>
      <c r="AA4" s="405"/>
      <c r="AB4" s="405"/>
      <c r="AC4" s="484"/>
      <c r="AD4" s="435" t="s">
        <v>783</v>
      </c>
      <c r="AE4" s="436">
        <f>IFERROR(Inputs!B36,0)</f>
        <v>500</v>
      </c>
      <c r="AF4" s="437">
        <f t="shared" ref="AF4:AF15" si="1">INDEX(Rng_IrradianceData,$Z$10,MATCH($AD4,Rng_IrradianceCols,0))</f>
        <v>5.99</v>
      </c>
      <c r="AG4" s="436">
        <f t="shared" ref="AG4:AG15" si="2">IFERROR(IFERROR(Sys_NumPanels*Panel_PTC*AF4*InverterLossPct*(1-Sys_OtherLossPct)*365.25/12,0)/1000,0)</f>
        <v>462.15762412875</v>
      </c>
      <c r="AH4" s="436">
        <f>AE4-AG4</f>
        <v>37.842375871249999</v>
      </c>
      <c r="AI4" s="365">
        <f>-MIN(AH4,0)</f>
        <v>0</v>
      </c>
      <c r="AJ4" s="365">
        <f>MAX(0,AH4)</f>
        <v>37.842375871249999</v>
      </c>
      <c r="AK4" s="63"/>
      <c r="AL4" s="459">
        <f>IF(CFE_RateCategory="DAC",INDEX(CFE_History_DAC!$A$4:$DX$37,MATCH(VLOOKUP(CFE_Region,ListData!$B$2:$C$8,2,FALSE),CFE_History_DAC!$A$4:$A$37,0)+1,MATCH($AD4,CFE_History_DAC!$A$2:$DX$2,0)),IF(CFE_RateCategory="Tarifa 2",INDEX(CFE_History_Tarifa2!$B$4:$DV$9,6,MATCH($AD4,CFE_History_Tarifa2!$B$2:$DV$2,0)),"NaN"))</f>
        <v>95.67</v>
      </c>
      <c r="AM4" s="459">
        <f>IF(CFE_RateCategory="DAC",INDEX(CFE_History_DAC!$A$4:$DX$37,MATCH(VLOOKUP(CFE_Region,ListData!$B$2:$C$8,2,FALSE),CFE_History_DAC!$A$4:$A$37,0)+2,MATCH($AD4,CFE_History_DAC!$A$2:$DX$2,0)),IF(CFE_RateCategory="Tarifa 2",IF(ISNUMBER(CustUsage_kWhPerYear),(MIN(CustUsage_kWhPerYear,50*12)*INDEX(CFE_History_Tarifa2!$B$4:$DV$9,2,MATCH($AD4,CFE_History_Tarifa2!$B$2:$DV$2,0))+MAX(0,MIN(CustUsage_kWhPerYear-50*12,50*12))*INDEX(CFE_History_Tarifa2!$B$4:$DV$9,3,MATCH($AD4,CFE_History_Tarifa2!$B$2:$DV$2,0))+MAX(CustUsage_kWhPerYear-100*12,0)*INDEX(CFE_History_Tarifa2!$B$4:$DV$9,4,MATCH($AD4,CFE_History_Tarifa2!$B$2:$DV$2,0)))/CustUsage_kWhPerYear,INDEX(CFE_History_Tarifa2!$B$4:$DV$9,4,MATCH($AD4,CFE_History_Tarifa2!$B$2:$DV$2,0))),"NaN"))</f>
        <v>4.1559999999999997</v>
      </c>
      <c r="AN4" s="415">
        <f t="shared" ref="AN4:AN15" si="3">AE4*$AM4</f>
        <v>2078</v>
      </c>
      <c r="AO4" s="365">
        <f t="shared" ref="AO4:AO15" si="4">AN4+$AL4</f>
        <v>2173.67</v>
      </c>
      <c r="AP4" s="365">
        <f t="shared" ref="AP4:AP15" si="5">AO4*DAP</f>
        <v>217.36700000000002</v>
      </c>
      <c r="AQ4" s="365">
        <f t="shared" ref="AQ4:AQ15" si="6">AO4*IVA</f>
        <v>347.78720000000004</v>
      </c>
      <c r="AR4" s="366">
        <f t="shared" ref="AR4:AR15" si="7">SUM(AO4:AQ4)</f>
        <v>2738.8242000000005</v>
      </c>
      <c r="AS4" s="415">
        <f t="shared" ref="AS4:AS15" si="8">AJ4*$AM4</f>
        <v>157.27291412091498</v>
      </c>
      <c r="AT4" s="365">
        <f>AS4+$AL4</f>
        <v>252.94291412091496</v>
      </c>
      <c r="AU4" s="365">
        <f t="shared" ref="AU4:AU13" si="9">AT4*DAP</f>
        <v>25.294291412091496</v>
      </c>
      <c r="AV4" s="365">
        <f t="shared" ref="AV4:AV13" si="10">AT4*IVA</f>
        <v>40.470866259346394</v>
      </c>
      <c r="AW4" s="365">
        <f>SUM(AT4:AV4)</f>
        <v>318.70807179235283</v>
      </c>
      <c r="AX4" s="365">
        <f t="shared" ref="AX4:AX15" si="11">((Sys_kWhPerYear*MySol_TotalRate)*(1+IVA))/12</f>
        <v>2082.8194316161316</v>
      </c>
      <c r="AY4" s="365">
        <f>AW4+AX4</f>
        <v>2401.5275034084843</v>
      </c>
      <c r="AZ4" s="366">
        <f>AR4-AY4</f>
        <v>337.29669659151614</v>
      </c>
      <c r="BA4" s="465"/>
    </row>
    <row r="5" spans="1:53" x14ac:dyDescent="0.15">
      <c r="A5" s="464"/>
      <c r="B5" s="434">
        <v>1</v>
      </c>
      <c r="C5" s="406"/>
      <c r="D5" s="407" t="str">
        <f>IFERROR(IF(B5&gt;Cust_LeaseTermYears,"N/A",MAX(Cust_NominalPymtAtTermEnd,INDEX(Model!$BW$86:$GA$86,1,MATCH(B5*12,Model!$BW$85:$GA$85,0)))+INDEX(Model!$BW$88:$GA$88,1,MATCH(B5*12,Model!$BW$85:$GA$85,0))),"N/A")</f>
        <v>N/A</v>
      </c>
      <c r="E5" s="407" t="str">
        <f>IFERROR(MAX(0,D5-SUM(F$5:F5)),"N/A")</f>
        <v>N/A</v>
      </c>
      <c r="F5" s="365">
        <f>Savings!AE6</f>
        <v>5856.7054236980221</v>
      </c>
      <c r="G5" s="418" t="str">
        <f>IF($C$4&lt;=0,"Infinity",IFERROR(IRR(F$4:F5),"N/A"))</f>
        <v>Infinity</v>
      </c>
      <c r="H5" s="465"/>
      <c r="J5" s="464"/>
      <c r="K5" s="434">
        <v>1</v>
      </c>
      <c r="L5" s="409">
        <f>1/((1+$Z$4)^K5)</f>
        <v>0.86956521739130443</v>
      </c>
      <c r="M5" s="406">
        <v>0</v>
      </c>
      <c r="N5" s="407">
        <f>IF($K5&gt;Cust_LeaseTermYears,0,IF($M$4=0,0,-INDEX(Model!$D$40:$R$40,1,MATCH(K5,Model!$D$36:$R$36,0))*(1+$Z$6)))</f>
        <v>1872</v>
      </c>
      <c r="O5" s="365">
        <f>IF($K5&gt;Cust_LeaseTermYears,0,(((MAX(0,Savings!C6-(Savings!L6*(1-$Z$5)))-Savings!O6)*INDEX(Savings!$AK6:$AM6,1,MATCH(CFE_RateCategory,Savings!$AK$1:$AM$1,0)))+(IF($Z$5=0,0,(Savings!O6*(INDEX(Savings!$AK6:$AM6,1,MATCH(CFE_RateCategory,Savings!$AK$1:$AM$1,0))-Savings!R6)))))*(1+DAP+IVA))</f>
        <v>3085.0538603091609</v>
      </c>
      <c r="P5" s="365">
        <f t="shared" ref="P5:P19" si="12">SUM(M5:O5)</f>
        <v>4957.0538603091609</v>
      </c>
      <c r="Q5" s="408">
        <f t="shared" ref="Q5:Q19" si="13">P5*$L5</f>
        <v>4310.4816176601407</v>
      </c>
      <c r="R5" s="406">
        <f t="shared" ref="R5:R19" si="14">IF(K5&lt;&gt;Cust_LeaseTermYears,0,Cust_TotalPymtAtTermEnd)</f>
        <v>0</v>
      </c>
      <c r="S5" s="407">
        <f>Savings!AB6</f>
        <v>24993.833179393583</v>
      </c>
      <c r="T5" s="365">
        <f t="shared" ref="T5:T19" si="15">SUM(R5:S5)</f>
        <v>24993.833179393583</v>
      </c>
      <c r="U5" s="365">
        <f t="shared" si="0"/>
        <v>21733.767982081379</v>
      </c>
      <c r="V5" s="408">
        <f t="shared" ref="V5:V19" si="16">Q5-U5</f>
        <v>-17423.286364421238</v>
      </c>
      <c r="W5" s="465"/>
      <c r="Y5" s="179" t="s">
        <v>804</v>
      </c>
      <c r="Z5" s="405">
        <v>0.1</v>
      </c>
      <c r="AA5" s="405"/>
      <c r="AB5" s="405"/>
      <c r="AC5" s="484"/>
      <c r="AD5" s="435" t="s">
        <v>784</v>
      </c>
      <c r="AE5" s="436">
        <f>IFERROR(Inputs!B37,0)</f>
        <v>500</v>
      </c>
      <c r="AF5" s="437">
        <f t="shared" si="1"/>
        <v>6.78</v>
      </c>
      <c r="AG5" s="436">
        <f t="shared" si="2"/>
        <v>523.10996520749984</v>
      </c>
      <c r="AH5" s="436">
        <f t="shared" ref="AH5:AH15" si="17">AE5-AG5</f>
        <v>-23.10996520749984</v>
      </c>
      <c r="AI5" s="365">
        <f t="shared" ref="AI5:AI15" si="18">-MIN(AH5,0)+AI4-(MAX(0,AH5)-AJ5)</f>
        <v>23.10996520749984</v>
      </c>
      <c r="AJ5" s="365">
        <f t="shared" ref="AJ5:AJ15" si="19">MAX(0,AH5-AI4)</f>
        <v>0</v>
      </c>
      <c r="AK5" s="63"/>
      <c r="AL5" s="459">
        <f>IF(CFE_RateCategory="DAC",INDEX(CFE_History_DAC!$A$4:$DX$37,MATCH(VLOOKUP(CFE_Region,ListData!$B$2:$C$8,2,FALSE),CFE_History_DAC!$A$4:$A$37,0)+1,MATCH($AD5,CFE_History_DAC!$A$2:$DX$2,0)),IF(CFE_RateCategory="Tarifa 2",INDEX(CFE_History_Tarifa2!$B$4:$DV$9,6,MATCH($AD5,CFE_History_Tarifa2!$B$2:$DV$2,0)),"NaN"))</f>
        <v>97.01</v>
      </c>
      <c r="AM5" s="459">
        <f>IF(CFE_RateCategory="DAC",INDEX(CFE_History_DAC!$A$4:$DX$37,MATCH(VLOOKUP(CFE_Region,ListData!$B$2:$C$8,2,FALSE),CFE_History_DAC!$A$4:$A$37,0)+2,MATCH($AD5,CFE_History_DAC!$A$2:$DX$2,0)),IF(CFE_RateCategory="Tarifa 2",IF(ISNUMBER(CustUsage_kWhPerYear),(MIN(CustUsage_kWhPerYear,50*12)*INDEX(CFE_History_Tarifa2!$B$4:$DV$9,2,MATCH($AD5,CFE_History_Tarifa2!$B$2:$DV$2,0))+MAX(0,MIN(CustUsage_kWhPerYear-50*12,50*12))*INDEX(CFE_History_Tarifa2!$B$4:$DV$9,3,MATCH($AD5,CFE_History_Tarifa2!$B$2:$DV$2,0))+MAX(CustUsage_kWhPerYear-100*12,0)*INDEX(CFE_History_Tarifa2!$B$4:$DV$9,4,MATCH($AD5,CFE_History_Tarifa2!$B$2:$DV$2,0)))/CustUsage_kWhPerYear,INDEX(CFE_History_Tarifa2!$B$4:$DV$9,4,MATCH($AD5,CFE_History_Tarifa2!$B$2:$DV$2,0))),"NaN"))</f>
        <v>4.3049999999999997</v>
      </c>
      <c r="AN5" s="415">
        <f t="shared" si="3"/>
        <v>2152.5</v>
      </c>
      <c r="AO5" s="365">
        <f t="shared" si="4"/>
        <v>2249.5100000000002</v>
      </c>
      <c r="AP5" s="365">
        <f t="shared" si="5"/>
        <v>224.95100000000002</v>
      </c>
      <c r="AQ5" s="365">
        <f t="shared" si="6"/>
        <v>359.92160000000007</v>
      </c>
      <c r="AR5" s="366">
        <f t="shared" si="7"/>
        <v>2834.3826000000004</v>
      </c>
      <c r="AS5" s="415">
        <f t="shared" si="8"/>
        <v>0</v>
      </c>
      <c r="AT5" s="365">
        <f t="shared" ref="AT5:AT15" si="20">AS5+$AL5</f>
        <v>97.01</v>
      </c>
      <c r="AU5" s="365">
        <f t="shared" si="9"/>
        <v>9.7010000000000005</v>
      </c>
      <c r="AV5" s="365">
        <f t="shared" si="10"/>
        <v>15.521600000000001</v>
      </c>
      <c r="AW5" s="365">
        <f t="shared" ref="AW5:AW15" si="21">SUM(AT5:AV5)</f>
        <v>122.23260000000002</v>
      </c>
      <c r="AX5" s="365">
        <f t="shared" si="11"/>
        <v>2082.8194316161316</v>
      </c>
      <c r="AY5" s="365">
        <f t="shared" ref="AY5:AY15" si="22">AW5+AX5</f>
        <v>2205.0520316161314</v>
      </c>
      <c r="AZ5" s="366">
        <f t="shared" ref="AZ5:AZ15" si="23">AR5-AY5</f>
        <v>629.33056838386892</v>
      </c>
      <c r="BA5" s="465"/>
    </row>
    <row r="6" spans="1:53" x14ac:dyDescent="0.15">
      <c r="A6" s="464"/>
      <c r="B6" s="434">
        <v>2</v>
      </c>
      <c r="C6" s="406"/>
      <c r="D6" s="407" t="str">
        <f>IFERROR(IF(B6&gt;Cust_LeaseTermYears,"N/A",MAX(Cust_NominalPymtAtTermEnd,INDEX(Model!$BW$86:$GA$86,1,MATCH(B6*12,Model!$BW$85:$GA$85,0)))+INDEX(Model!$BW$88:$GA$88,1,MATCH(B6*12,Model!$BW$85:$GA$85,0))),"N/A")</f>
        <v>N/A</v>
      </c>
      <c r="E6" s="407" t="str">
        <f>IFERROR(MAX(0,D6-SUM(F$5:F6)),"N/A")</f>
        <v>N/A</v>
      </c>
      <c r="F6" s="365">
        <f>Savings!AE7</f>
        <v>8657.2770289082291</v>
      </c>
      <c r="G6" s="418" t="str">
        <f>IF($C$4&lt;=0,"Infinity",IFERROR(IRR(F$4:F6),"N/A"))</f>
        <v>Infinity</v>
      </c>
      <c r="H6" s="465"/>
      <c r="J6" s="464"/>
      <c r="K6" s="434">
        <v>2</v>
      </c>
      <c r="L6" s="409">
        <f t="shared" ref="L6:L19" si="24">1/((1+$Z$4)^K6)</f>
        <v>0.7561436672967865</v>
      </c>
      <c r="M6" s="406">
        <v>0</v>
      </c>
      <c r="N6" s="407">
        <f>IF($K6&gt;Cust_LeaseTermYears,0,IF($M$4=0,0,-INDEX(Model!$D$40:$R$40,1,MATCH(K6,Model!$D$36:$R$36,0))*(1+$Z$6)))</f>
        <v>1946.88</v>
      </c>
      <c r="O6" s="365">
        <f>IF($K6&gt;Cust_LeaseTermYears,0,(((MAX(0,Savings!C7-(Savings!L7*(1-$Z$5)))-Savings!O7)*INDEX(Savings!$AK7:$AM7,1,MATCH(CFE_RateCategory,Savings!$AK$1:$AM$1,0)))+(IF($Z$5=0,0,(Savings!O7*(INDEX(Savings!$AK7:$AM7,1,MATCH(CFE_RateCategory,Savings!$AK$1:$AM$1,0))-Savings!R7)))))*(1+DAP+IVA))</f>
        <v>4749.0779120309871</v>
      </c>
      <c r="P6" s="365">
        <f t="shared" si="12"/>
        <v>6695.9579120309872</v>
      </c>
      <c r="Q6" s="408">
        <f t="shared" si="13"/>
        <v>5063.1061716680442</v>
      </c>
      <c r="R6" s="406">
        <f t="shared" si="14"/>
        <v>0</v>
      </c>
      <c r="S6" s="407">
        <f>Savings!AB7</f>
        <v>25868.617340672357</v>
      </c>
      <c r="T6" s="365">
        <f t="shared" si="15"/>
        <v>25868.617340672357</v>
      </c>
      <c r="U6" s="365">
        <f t="shared" si="0"/>
        <v>19560.391183873242</v>
      </c>
      <c r="V6" s="408">
        <f t="shared" si="16"/>
        <v>-14497.285012205197</v>
      </c>
      <c r="W6" s="465"/>
      <c r="Y6" s="179" t="s">
        <v>803</v>
      </c>
      <c r="Z6" s="405">
        <v>0.6</v>
      </c>
      <c r="AA6" s="405"/>
      <c r="AB6" s="405"/>
      <c r="AC6" s="485"/>
      <c r="AD6" s="435" t="s">
        <v>785</v>
      </c>
      <c r="AE6" s="436">
        <f>IFERROR(Inputs!B38,0)</f>
        <v>500</v>
      </c>
      <c r="AF6" s="437">
        <f t="shared" si="1"/>
        <v>7.23</v>
      </c>
      <c r="AG6" s="436">
        <f t="shared" si="2"/>
        <v>557.82965316375009</v>
      </c>
      <c r="AH6" s="436">
        <f t="shared" si="17"/>
        <v>-57.829653163750095</v>
      </c>
      <c r="AI6" s="365">
        <f t="shared" si="18"/>
        <v>80.939618371249935</v>
      </c>
      <c r="AJ6" s="365">
        <f t="shared" si="19"/>
        <v>0</v>
      </c>
      <c r="AK6" s="63"/>
      <c r="AL6" s="459">
        <f>IF(CFE_RateCategory="DAC",INDEX(CFE_History_DAC!$A$4:$DX$37,MATCH(VLOOKUP(CFE_Region,ListData!$B$2:$C$8,2,FALSE),CFE_History_DAC!$A$4:$A$37,0)+1,MATCH($AD6,CFE_History_DAC!$A$2:$DX$2,0)),IF(CFE_RateCategory="Tarifa 2",INDEX(CFE_History_Tarifa2!$B$4:$DV$9,6,MATCH($AD6,CFE_History_Tarifa2!$B$2:$DV$2,0)),"NaN"))</f>
        <v>99.95</v>
      </c>
      <c r="AM6" s="459">
        <f>IF(CFE_RateCategory="DAC",INDEX(CFE_History_DAC!$A$4:$DX$37,MATCH(VLOOKUP(CFE_Region,ListData!$B$2:$C$8,2,FALSE),CFE_History_DAC!$A$4:$A$37,0)+2,MATCH($AD6,CFE_History_DAC!$A$2:$DX$2,0)),IF(CFE_RateCategory="Tarifa 2",IF(ISNUMBER(CustUsage_kWhPerYear),(MIN(CustUsage_kWhPerYear,50*12)*INDEX(CFE_History_Tarifa2!$B$4:$DV$9,2,MATCH($AD6,CFE_History_Tarifa2!$B$2:$DV$2,0))+MAX(0,MIN(CustUsage_kWhPerYear-50*12,50*12))*INDEX(CFE_History_Tarifa2!$B$4:$DV$9,3,MATCH($AD6,CFE_History_Tarifa2!$B$2:$DV$2,0))+MAX(CustUsage_kWhPerYear-100*12,0)*INDEX(CFE_History_Tarifa2!$B$4:$DV$9,4,MATCH($AD6,CFE_History_Tarifa2!$B$2:$DV$2,0)))/CustUsage_kWhPerYear,INDEX(CFE_History_Tarifa2!$B$4:$DV$9,4,MATCH($AD6,CFE_History_Tarifa2!$B$2:$DV$2,0))),"NaN"))</f>
        <v>4.66</v>
      </c>
      <c r="AN6" s="415">
        <f t="shared" si="3"/>
        <v>2330</v>
      </c>
      <c r="AO6" s="365">
        <f t="shared" si="4"/>
        <v>2429.9499999999998</v>
      </c>
      <c r="AP6" s="365">
        <f t="shared" si="5"/>
        <v>242.995</v>
      </c>
      <c r="AQ6" s="365">
        <f t="shared" si="6"/>
        <v>388.79199999999997</v>
      </c>
      <c r="AR6" s="366">
        <f t="shared" si="7"/>
        <v>3061.7369999999996</v>
      </c>
      <c r="AS6" s="415">
        <f t="shared" si="8"/>
        <v>0</v>
      </c>
      <c r="AT6" s="365">
        <f t="shared" si="20"/>
        <v>99.95</v>
      </c>
      <c r="AU6" s="365">
        <f t="shared" si="9"/>
        <v>9.995000000000001</v>
      </c>
      <c r="AV6" s="365">
        <f t="shared" si="10"/>
        <v>15.992000000000001</v>
      </c>
      <c r="AW6" s="365">
        <f t="shared" si="21"/>
        <v>125.93700000000001</v>
      </c>
      <c r="AX6" s="365">
        <f t="shared" si="11"/>
        <v>2082.8194316161316</v>
      </c>
      <c r="AY6" s="365">
        <f t="shared" si="22"/>
        <v>2208.7564316161315</v>
      </c>
      <c r="AZ6" s="366">
        <f t="shared" si="23"/>
        <v>852.9805683838681</v>
      </c>
      <c r="BA6" s="465"/>
    </row>
    <row r="7" spans="1:53" x14ac:dyDescent="0.15">
      <c r="A7" s="464"/>
      <c r="B7" s="434">
        <v>3</v>
      </c>
      <c r="C7" s="406"/>
      <c r="D7" s="407" t="str">
        <f>IFERROR(IF(B7&gt;Cust_LeaseTermYears,"N/A",MAX(Cust_NominalPymtAtTermEnd,INDEX(Model!$BW$86:$GA$86,1,MATCH(B7*12,Model!$BW$85:$GA$85,0)))+INDEX(Model!$BW$88:$GA$88,1,MATCH(B7*12,Model!$BW$85:$GA$85,0))),"N/A")</f>
        <v>N/A</v>
      </c>
      <c r="E7" s="407" t="str">
        <f>IFERROR(MAX(0,D7-SUM(F$5:F7)),"N/A")</f>
        <v>N/A</v>
      </c>
      <c r="F7" s="365">
        <f>Savings!AE8</f>
        <v>10483.402357021383</v>
      </c>
      <c r="G7" s="418" t="str">
        <f>IF($C$4&lt;=0,"Infinity",IFERROR(IRR(F$4:F7),"N/A"))</f>
        <v>Infinity</v>
      </c>
      <c r="H7" s="465"/>
      <c r="J7" s="464"/>
      <c r="K7" s="434">
        <v>3</v>
      </c>
      <c r="L7" s="409">
        <f t="shared" si="24"/>
        <v>0.65751623243198831</v>
      </c>
      <c r="M7" s="406">
        <v>0</v>
      </c>
      <c r="N7" s="407">
        <f>IF($K7&gt;Cust_LeaseTermYears,0,IF($M$4=0,0,-INDEX(Model!$D$40:$R$40,1,MATCH(K7,Model!$D$36:$R$36,0))*(1+$Z$6)))</f>
        <v>2024.7552000000001</v>
      </c>
      <c r="O7" s="365">
        <f>IF($K7&gt;Cust_LeaseTermYears,0,(((MAX(0,Savings!C8-(Savings!L8*(1-$Z$5)))-Savings!O8)*INDEX(Savings!$AK8:$AM8,1,MATCH(CFE_RateCategory,Savings!$AK$1:$AM$1,0)))+(IF($Z$5=0,0,(Savings!O8*(INDEX(Savings!$AK8:$AM8,1,MATCH(CFE_RateCategory,Savings!$AK$1:$AM$1,0))-Savings!R8)))))*(1+DAP+IVA))</f>
        <v>5323.5722628827698</v>
      </c>
      <c r="P7" s="365">
        <f t="shared" si="12"/>
        <v>7348.3274628827694</v>
      </c>
      <c r="Q7" s="408">
        <f t="shared" si="13"/>
        <v>4831.6445880711899</v>
      </c>
      <c r="R7" s="406">
        <f t="shared" si="14"/>
        <v>0</v>
      </c>
      <c r="S7" s="407">
        <f>Savings!AB8</f>
        <v>26774.018947595887</v>
      </c>
      <c r="T7" s="365">
        <f t="shared" si="15"/>
        <v>26774.018947595887</v>
      </c>
      <c r="U7" s="365">
        <f t="shared" si="0"/>
        <v>17604.352065485917</v>
      </c>
      <c r="V7" s="408">
        <f t="shared" si="16"/>
        <v>-12772.707477414726</v>
      </c>
      <c r="W7" s="465"/>
      <c r="Y7" s="179" t="s">
        <v>837</v>
      </c>
      <c r="Z7" s="405">
        <v>0.35</v>
      </c>
      <c r="AA7" s="405"/>
      <c r="AB7" s="405"/>
      <c r="AC7" s="484"/>
      <c r="AD7" s="435" t="s">
        <v>786</v>
      </c>
      <c r="AE7" s="436">
        <f>IFERROR(Inputs!B39,0)</f>
        <v>500</v>
      </c>
      <c r="AF7" s="437">
        <f t="shared" si="1"/>
        <v>6.83</v>
      </c>
      <c r="AG7" s="436">
        <f t="shared" si="2"/>
        <v>526.96770831374999</v>
      </c>
      <c r="AH7" s="436">
        <f t="shared" si="17"/>
        <v>-26.967708313749995</v>
      </c>
      <c r="AI7" s="365">
        <f t="shared" si="18"/>
        <v>107.90732668499993</v>
      </c>
      <c r="AJ7" s="365">
        <f t="shared" si="19"/>
        <v>0</v>
      </c>
      <c r="AK7" s="63"/>
      <c r="AL7" s="459">
        <f>IF(CFE_RateCategory="DAC",INDEX(CFE_History_DAC!$A$4:$DX$37,MATCH(VLOOKUP(CFE_Region,ListData!$B$2:$C$8,2,FALSE),CFE_History_DAC!$A$4:$A$37,0)+1,MATCH($AD7,CFE_History_DAC!$A$2:$DX$2,0)),IF(CFE_RateCategory="Tarifa 2",INDEX(CFE_History_Tarifa2!$B$4:$DV$9,6,MATCH($AD7,CFE_History_Tarifa2!$B$2:$DV$2,0)),"NaN"))</f>
        <v>100.55</v>
      </c>
      <c r="AM7" s="459">
        <f>IF(CFE_RateCategory="DAC",INDEX(CFE_History_DAC!$A$4:$DX$37,MATCH(VLOOKUP(CFE_Region,ListData!$B$2:$C$8,2,FALSE),CFE_History_DAC!$A$4:$A$37,0)+2,MATCH($AD7,CFE_History_DAC!$A$2:$DX$2,0)),IF(CFE_RateCategory="Tarifa 2",IF(ISNUMBER(CustUsage_kWhPerYear),(MIN(CustUsage_kWhPerYear,50*12)*INDEX(CFE_History_Tarifa2!$B$4:$DV$9,2,MATCH($AD7,CFE_History_Tarifa2!$B$2:$DV$2,0))+MAX(0,MIN(CustUsage_kWhPerYear-50*12,50*12))*INDEX(CFE_History_Tarifa2!$B$4:$DV$9,3,MATCH($AD7,CFE_History_Tarifa2!$B$2:$DV$2,0))+MAX(CustUsage_kWhPerYear-100*12,0)*INDEX(CFE_History_Tarifa2!$B$4:$DV$9,4,MATCH($AD7,CFE_History_Tarifa2!$B$2:$DV$2,0)))/CustUsage_kWhPerYear,INDEX(CFE_History_Tarifa2!$B$4:$DV$9,4,MATCH($AD7,CFE_History_Tarifa2!$B$2:$DV$2,0))),"NaN"))</f>
        <v>4.5919999999999996</v>
      </c>
      <c r="AN7" s="415">
        <f t="shared" si="3"/>
        <v>2296</v>
      </c>
      <c r="AO7" s="365">
        <f t="shared" si="4"/>
        <v>2396.5500000000002</v>
      </c>
      <c r="AP7" s="365">
        <f t="shared" si="5"/>
        <v>239.65500000000003</v>
      </c>
      <c r="AQ7" s="365">
        <f t="shared" si="6"/>
        <v>383.44800000000004</v>
      </c>
      <c r="AR7" s="366">
        <f t="shared" si="7"/>
        <v>3019.6530000000002</v>
      </c>
      <c r="AS7" s="415">
        <f t="shared" si="8"/>
        <v>0</v>
      </c>
      <c r="AT7" s="365">
        <f t="shared" si="20"/>
        <v>100.55</v>
      </c>
      <c r="AU7" s="365">
        <f t="shared" si="9"/>
        <v>10.055</v>
      </c>
      <c r="AV7" s="365">
        <f t="shared" si="10"/>
        <v>16.088000000000001</v>
      </c>
      <c r="AW7" s="365">
        <f t="shared" si="21"/>
        <v>126.69299999999998</v>
      </c>
      <c r="AX7" s="365">
        <f t="shared" si="11"/>
        <v>2082.8194316161316</v>
      </c>
      <c r="AY7" s="365">
        <f t="shared" si="22"/>
        <v>2209.5124316161318</v>
      </c>
      <c r="AZ7" s="366">
        <f t="shared" si="23"/>
        <v>810.14056838386841</v>
      </c>
      <c r="BA7" s="465"/>
    </row>
    <row r="8" spans="1:53" x14ac:dyDescent="0.15">
      <c r="A8" s="464"/>
      <c r="B8" s="434">
        <v>4</v>
      </c>
      <c r="C8" s="406"/>
      <c r="D8" s="407" t="str">
        <f>IFERROR(IF(B8&gt;Cust_LeaseTermYears,"N/A",MAX(Cust_NominalPymtAtTermEnd,INDEX(Model!$BW$86:$GA$86,1,MATCH(B8*12,Model!$BW$85:$GA$85,0)))+INDEX(Model!$BW$88:$GA$88,1,MATCH(B8*12,Model!$BW$85:$GA$85,0))),"N/A")</f>
        <v>N/A</v>
      </c>
      <c r="E8" s="407" t="str">
        <f>IFERROR(MAX(0,D8-SUM(F$5:F8)),"N/A")</f>
        <v>N/A</v>
      </c>
      <c r="F8" s="365">
        <f>Savings!AE9</f>
        <v>12497.176961895562</v>
      </c>
      <c r="G8" s="418" t="str">
        <f>IF($C$4&lt;=0,"Infinity",IFERROR(IRR(F$4:F8),"N/A"))</f>
        <v>Infinity</v>
      </c>
      <c r="H8" s="465"/>
      <c r="J8" s="464"/>
      <c r="K8" s="434">
        <v>4</v>
      </c>
      <c r="L8" s="409">
        <f t="shared" si="24"/>
        <v>0.57175324559303342</v>
      </c>
      <c r="M8" s="406">
        <v>0</v>
      </c>
      <c r="N8" s="407">
        <f>IF($K8&gt;Cust_LeaseTermYears,0,IF($M$4=0,0,-INDEX(Model!$D$40:$R$40,1,MATCH(K8,Model!$D$36:$R$36,0))*(1+$Z$6)))</f>
        <v>2105.7454080000002</v>
      </c>
      <c r="O8" s="365">
        <f>IF($K8&gt;Cust_LeaseTermYears,0,(((MAX(0,Savings!C9-(Savings!L9*(1-$Z$5)))-Savings!O9)*INDEX(Savings!$AK9:$AM9,1,MATCH(CFE_RateCategory,Savings!$AK$1:$AM$1,0)))+(IF($Z$5=0,0,(Savings!O9*(INDEX(Savings!$AK9:$AM9,1,MATCH(CFE_RateCategory,Savings!$AK$1:$AM$1,0))-Savings!R9)))))*(1+DAP+IVA))</f>
        <v>5961.1495063395632</v>
      </c>
      <c r="P8" s="365">
        <f t="shared" si="12"/>
        <v>8066.8949143395639</v>
      </c>
      <c r="Q8" s="408">
        <f t="shared" si="13"/>
        <v>4612.2733491315812</v>
      </c>
      <c r="R8" s="406">
        <f t="shared" si="14"/>
        <v>0</v>
      </c>
      <c r="S8" s="407">
        <f>Savings!AB9</f>
        <v>27711.109610761741</v>
      </c>
      <c r="T8" s="365">
        <f t="shared" si="15"/>
        <v>27711.109610761741</v>
      </c>
      <c r="U8" s="365">
        <f t="shared" si="0"/>
        <v>15843.916858937328</v>
      </c>
      <c r="V8" s="408">
        <f t="shared" si="16"/>
        <v>-11231.643509805746</v>
      </c>
      <c r="W8" s="465"/>
      <c r="AC8" s="484"/>
      <c r="AD8" s="435" t="s">
        <v>787</v>
      </c>
      <c r="AE8" s="436">
        <f>IFERROR(Inputs!B40,0)</f>
        <v>500</v>
      </c>
      <c r="AF8" s="437">
        <f t="shared" si="1"/>
        <v>6.28</v>
      </c>
      <c r="AG8" s="436">
        <f t="shared" si="2"/>
        <v>484.532534145</v>
      </c>
      <c r="AH8" s="436">
        <f t="shared" si="17"/>
        <v>15.467465855</v>
      </c>
      <c r="AI8" s="365">
        <f t="shared" si="18"/>
        <v>92.43986082999993</v>
      </c>
      <c r="AJ8" s="365">
        <f t="shared" si="19"/>
        <v>0</v>
      </c>
      <c r="AK8" s="63"/>
      <c r="AL8" s="459">
        <f>IF(CFE_RateCategory="DAC",INDEX(CFE_History_DAC!$A$4:$DX$37,MATCH(VLOOKUP(CFE_Region,ListData!$B$2:$C$8,2,FALSE),CFE_History_DAC!$A$4:$A$37,0)+1,MATCH($AD8,CFE_History_DAC!$A$2:$DX$2,0)),IF(CFE_RateCategory="Tarifa 2",INDEX(CFE_History_Tarifa2!$B$4:$DV$9,6,MATCH($AD8,CFE_History_Tarifa2!$B$2:$DV$2,0)),"NaN"))</f>
        <v>99.84</v>
      </c>
      <c r="AM8" s="459">
        <f>IF(CFE_RateCategory="DAC",INDEX(CFE_History_DAC!$A$4:$DX$37,MATCH(VLOOKUP(CFE_Region,ListData!$B$2:$C$8,2,FALSE),CFE_History_DAC!$A$4:$A$37,0)+2,MATCH($AD8,CFE_History_DAC!$A$2:$DX$2,0)),IF(CFE_RateCategory="Tarifa 2",IF(ISNUMBER(CustUsage_kWhPerYear),(MIN(CustUsage_kWhPerYear,50*12)*INDEX(CFE_History_Tarifa2!$B$4:$DV$9,2,MATCH($AD8,CFE_History_Tarifa2!$B$2:$DV$2,0))+MAX(0,MIN(CustUsage_kWhPerYear-50*12,50*12))*INDEX(CFE_History_Tarifa2!$B$4:$DV$9,3,MATCH($AD8,CFE_History_Tarifa2!$B$2:$DV$2,0))+MAX(CustUsage_kWhPerYear-100*12,0)*INDEX(CFE_History_Tarifa2!$B$4:$DV$9,4,MATCH($AD8,CFE_History_Tarifa2!$B$2:$DV$2,0)))/CustUsage_kWhPerYear,INDEX(CFE_History_Tarifa2!$B$4:$DV$9,4,MATCH($AD8,CFE_History_Tarifa2!$B$2:$DV$2,0))),"NaN"))</f>
        <v>4.37</v>
      </c>
      <c r="AN8" s="415">
        <f t="shared" si="3"/>
        <v>2185</v>
      </c>
      <c r="AO8" s="365">
        <f t="shared" si="4"/>
        <v>2284.84</v>
      </c>
      <c r="AP8" s="365">
        <f t="shared" si="5"/>
        <v>228.48400000000004</v>
      </c>
      <c r="AQ8" s="365">
        <f t="shared" si="6"/>
        <v>365.57440000000003</v>
      </c>
      <c r="AR8" s="366">
        <f t="shared" si="7"/>
        <v>2878.8984</v>
      </c>
      <c r="AS8" s="415">
        <f t="shared" si="8"/>
        <v>0</v>
      </c>
      <c r="AT8" s="365">
        <f t="shared" si="20"/>
        <v>99.84</v>
      </c>
      <c r="AU8" s="365">
        <f t="shared" si="9"/>
        <v>9.9840000000000018</v>
      </c>
      <c r="AV8" s="365">
        <f t="shared" si="10"/>
        <v>15.974400000000001</v>
      </c>
      <c r="AW8" s="365">
        <f t="shared" si="21"/>
        <v>125.79840000000002</v>
      </c>
      <c r="AX8" s="365">
        <f t="shared" si="11"/>
        <v>2082.8194316161316</v>
      </c>
      <c r="AY8" s="365">
        <f t="shared" si="22"/>
        <v>2208.6178316161318</v>
      </c>
      <c r="AZ8" s="366">
        <f t="shared" si="23"/>
        <v>670.28056838386829</v>
      </c>
      <c r="BA8" s="465"/>
    </row>
    <row r="9" spans="1:53" x14ac:dyDescent="0.15">
      <c r="A9" s="464"/>
      <c r="B9" s="434">
        <v>5</v>
      </c>
      <c r="C9" s="406"/>
      <c r="D9" s="407" t="str">
        <f>IFERROR(IF(B9&gt;Cust_LeaseTermYears,"N/A",MAX(Cust_NominalPymtAtTermEnd,INDEX(Model!$BW$86:$GA$86,1,MATCH(B9*12,Model!$BW$85:$GA$85,0)))+INDEX(Model!$BW$88:$GA$88,1,MATCH(B9*12,Model!$BW$85:$GA$85,0))),"N/A")</f>
        <v>N/A</v>
      </c>
      <c r="E9" s="407" t="str">
        <f>IFERROR(MAX(0,D9-SUM(F$5:F9)),"N/A")</f>
        <v>N/A</v>
      </c>
      <c r="F9" s="365">
        <f>Savings!AE10</f>
        <v>14715.13812247281</v>
      </c>
      <c r="G9" s="418" t="str">
        <f>IF($C$4&lt;=0,"Infinity",IFERROR(IRR(F$4:F9),"N/A"))</f>
        <v>Infinity</v>
      </c>
      <c r="H9" s="465"/>
      <c r="J9" s="464"/>
      <c r="K9" s="434">
        <v>5</v>
      </c>
      <c r="L9" s="409">
        <f t="shared" si="24"/>
        <v>0.49717673529828987</v>
      </c>
      <c r="M9" s="406">
        <v>0</v>
      </c>
      <c r="N9" s="407">
        <f>IF($K9&gt;Cust_LeaseTermYears,0,IF($M$4=0,0,-INDEX(Model!$D$40:$R$40,1,MATCH(K9,Model!$D$36:$R$36,0))*(1+$Z$6)))</f>
        <v>2189.9752243200001</v>
      </c>
      <c r="O9" s="365">
        <f>IF($K9&gt;Cust_LeaseTermYears,0,(((MAX(0,Savings!C10-(Savings!L10*(1-$Z$5)))-Savings!O10)*INDEX(Savings!$AK10:$AM10,1,MATCH(CFE_RateCategory,Savings!$AK$1:$AM$1,0)))+(IF($Z$5=0,0,(Savings!O10*(INDEX(Savings!$AK10:$AM10,1,MATCH(CFE_RateCategory,Savings!$AK$1:$AM$1,0))-Savings!R10)))))*(1+DAP+IVA))</f>
        <v>6668.1368942094059</v>
      </c>
      <c r="P9" s="365">
        <f t="shared" si="12"/>
        <v>8858.1121185294069</v>
      </c>
      <c r="Q9" s="408">
        <f t="shared" si="13"/>
        <v>4404.0472639966683</v>
      </c>
      <c r="R9" s="406">
        <f t="shared" si="14"/>
        <v>0</v>
      </c>
      <c r="S9" s="407">
        <f>Savings!AB10</f>
        <v>28680.998447138398</v>
      </c>
      <c r="T9" s="365">
        <f t="shared" si="15"/>
        <v>28680.998447138398</v>
      </c>
      <c r="U9" s="365">
        <f t="shared" si="0"/>
        <v>14259.52517304359</v>
      </c>
      <c r="V9" s="408">
        <f t="shared" si="16"/>
        <v>-9855.4779090469219</v>
      </c>
      <c r="W9" s="465"/>
      <c r="Y9" s="179" t="s">
        <v>881</v>
      </c>
      <c r="Z9" s="200" t="str">
        <f>Sys_SunHoursCity&amp;"_"&amp;Sys_Tilt&amp;"_"&amp;Sys_Azimuth</f>
        <v>Queretaro_Optimal Year Round_180</v>
      </c>
      <c r="AC9" s="464"/>
      <c r="AD9" s="435" t="s">
        <v>788</v>
      </c>
      <c r="AE9" s="436">
        <f>IFERROR(Inputs!B41,0)</f>
        <v>500</v>
      </c>
      <c r="AF9" s="437">
        <f t="shared" si="1"/>
        <v>6.34</v>
      </c>
      <c r="AG9" s="436">
        <f t="shared" si="2"/>
        <v>489.16182587249995</v>
      </c>
      <c r="AH9" s="436">
        <f t="shared" si="17"/>
        <v>10.838174127500054</v>
      </c>
      <c r="AI9" s="365">
        <f t="shared" si="18"/>
        <v>81.601686702499876</v>
      </c>
      <c r="AJ9" s="365">
        <f t="shared" si="19"/>
        <v>0</v>
      </c>
      <c r="AK9" s="63"/>
      <c r="AL9" s="459">
        <f>IF(CFE_RateCategory="DAC",INDEX(CFE_History_DAC!$A$4:$DX$37,MATCH(VLOOKUP(CFE_Region,ListData!$B$2:$C$8,2,FALSE),CFE_History_DAC!$A$4:$A$37,0)+1,MATCH($AD9,CFE_History_DAC!$A$2:$DX$2,0)),IF(CFE_RateCategory="Tarifa 2",INDEX(CFE_History_Tarifa2!$B$4:$DV$9,6,MATCH($AD9,CFE_History_Tarifa2!$B$2:$DV$2,0)),"NaN"))</f>
        <v>98.71</v>
      </c>
      <c r="AM9" s="459">
        <f>IF(CFE_RateCategory="DAC",INDEX(CFE_History_DAC!$A$4:$DX$37,MATCH(VLOOKUP(CFE_Region,ListData!$B$2:$C$8,2,FALSE),CFE_History_DAC!$A$4:$A$37,0)+2,MATCH($AD9,CFE_History_DAC!$A$2:$DX$2,0)),IF(CFE_RateCategory="Tarifa 2",IF(ISNUMBER(CustUsage_kWhPerYear),(MIN(CustUsage_kWhPerYear,50*12)*INDEX(CFE_History_Tarifa2!$B$4:$DV$9,2,MATCH($AD9,CFE_History_Tarifa2!$B$2:$DV$2,0))+MAX(0,MIN(CustUsage_kWhPerYear-50*12,50*12))*INDEX(CFE_History_Tarifa2!$B$4:$DV$9,3,MATCH($AD9,CFE_History_Tarifa2!$B$2:$DV$2,0))+MAX(CustUsage_kWhPerYear-100*12,0)*INDEX(CFE_History_Tarifa2!$B$4:$DV$9,4,MATCH($AD9,CFE_History_Tarifa2!$B$2:$DV$2,0)))/CustUsage_kWhPerYear,INDEX(CFE_History_Tarifa2!$B$4:$DV$9,4,MATCH($AD9,CFE_History_Tarifa2!$B$2:$DV$2,0))),"NaN"))</f>
        <v>4.3550000000000004</v>
      </c>
      <c r="AN9" s="415">
        <f t="shared" si="3"/>
        <v>2177.5</v>
      </c>
      <c r="AO9" s="365">
        <f t="shared" si="4"/>
        <v>2276.21</v>
      </c>
      <c r="AP9" s="365">
        <f t="shared" si="5"/>
        <v>227.62100000000001</v>
      </c>
      <c r="AQ9" s="365">
        <f t="shared" si="6"/>
        <v>364.1936</v>
      </c>
      <c r="AR9" s="366">
        <f t="shared" si="7"/>
        <v>2868.0246000000002</v>
      </c>
      <c r="AS9" s="415">
        <f t="shared" si="8"/>
        <v>0</v>
      </c>
      <c r="AT9" s="365">
        <f t="shared" si="20"/>
        <v>98.71</v>
      </c>
      <c r="AU9" s="365">
        <f t="shared" si="9"/>
        <v>9.8710000000000004</v>
      </c>
      <c r="AV9" s="365">
        <f t="shared" si="10"/>
        <v>15.7936</v>
      </c>
      <c r="AW9" s="365">
        <f t="shared" si="21"/>
        <v>124.37459999999999</v>
      </c>
      <c r="AX9" s="365">
        <f t="shared" si="11"/>
        <v>2082.8194316161316</v>
      </c>
      <c r="AY9" s="365">
        <f t="shared" si="22"/>
        <v>2207.1940316161317</v>
      </c>
      <c r="AZ9" s="366">
        <f t="shared" si="23"/>
        <v>660.83056838386847</v>
      </c>
      <c r="BA9" s="465"/>
    </row>
    <row r="10" spans="1:53" x14ac:dyDescent="0.15">
      <c r="A10" s="464"/>
      <c r="B10" s="434">
        <v>6</v>
      </c>
      <c r="C10" s="406"/>
      <c r="D10" s="407">
        <f ca="1">IFERROR(IF(B10&gt;Cust_LeaseTermYears,"N/A",MAX(Cust_NominalPymtAtTermEnd,INDEX(Model!$BW$86:$GA$86,1,MATCH(B10*12,Model!$BW$85:$GA$85,0)))+INDEX(Model!$BW$88:$GA$88,1,MATCH(B10*12,Model!$BW$85:$GA$85,0))),"N/A")</f>
        <v>107366.4867227971</v>
      </c>
      <c r="E10" s="407">
        <f ca="1">IFERROR(MAX(0,D10-SUM(F$5:F10)),"N/A")</f>
        <v>38001.584663516522</v>
      </c>
      <c r="F10" s="365">
        <f>Savings!AE11</f>
        <v>17155.20216528458</v>
      </c>
      <c r="G10" s="418" t="str">
        <f>IF($C$4&lt;=0,"Infinity",IFERROR(IRR(F$4:F10),"N/A"))</f>
        <v>Infinity</v>
      </c>
      <c r="H10" s="465"/>
      <c r="J10" s="464"/>
      <c r="K10" s="434">
        <v>6</v>
      </c>
      <c r="L10" s="409">
        <f t="shared" si="24"/>
        <v>0.43232759591155645</v>
      </c>
      <c r="M10" s="406">
        <v>0</v>
      </c>
      <c r="N10" s="407">
        <f>IF($K10&gt;Cust_LeaseTermYears,0,IF($M$4=0,0,-INDEX(Model!$D$40:$R$40,1,MATCH(K10,Model!$D$36:$R$36,0))*(1+$Z$6)))</f>
        <v>2277.5742332928003</v>
      </c>
      <c r="O10" s="365">
        <f>IF($K10&gt;Cust_LeaseTermYears,0,(((MAX(0,Savings!C11-(Savings!L11*(1-$Z$5)))-Savings!O11)*INDEX(Savings!$AK11:$AM11,1,MATCH(CFE_RateCategory,Savings!$AK$1:$AM$1,0)))+(IF($Z$5=0,0,(Savings!O11*(INDEX(Savings!$AK11:$AM11,1,MATCH(CFE_RateCategory,Savings!$AK$1:$AM$1,0))-Savings!R11)))))*(1+DAP+IVA))</f>
        <v>7451.4595861848984</v>
      </c>
      <c r="P10" s="365">
        <f t="shared" si="12"/>
        <v>9729.0338194776996</v>
      </c>
      <c r="Q10" s="408">
        <f t="shared" si="13"/>
        <v>4206.1298017170211</v>
      </c>
      <c r="R10" s="406">
        <f t="shared" si="14"/>
        <v>0</v>
      </c>
      <c r="S10" s="407">
        <f>Savings!AB11</f>
        <v>29684.833392788241</v>
      </c>
      <c r="T10" s="365">
        <f t="shared" si="15"/>
        <v>29684.833392788241</v>
      </c>
      <c r="U10" s="365">
        <f t="shared" si="0"/>
        <v>12833.572655739232</v>
      </c>
      <c r="V10" s="408">
        <f t="shared" si="16"/>
        <v>-8627.4428540222107</v>
      </c>
      <c r="W10" s="465"/>
      <c r="Y10" s="179" t="s">
        <v>882</v>
      </c>
      <c r="Z10" s="192">
        <f>MATCH(Z9,Rng_IrradianceKeys,0)</f>
        <v>1535</v>
      </c>
      <c r="AC10" s="464"/>
      <c r="AD10" s="435" t="s">
        <v>789</v>
      </c>
      <c r="AE10" s="436">
        <f>IFERROR(Inputs!B42,0)</f>
        <v>500</v>
      </c>
      <c r="AF10" s="437">
        <f t="shared" si="1"/>
        <v>6.07</v>
      </c>
      <c r="AG10" s="436">
        <f t="shared" si="2"/>
        <v>468.33001309874999</v>
      </c>
      <c r="AH10" s="436">
        <f t="shared" si="17"/>
        <v>31.669986901250013</v>
      </c>
      <c r="AI10" s="365">
        <f t="shared" si="18"/>
        <v>49.931699801249863</v>
      </c>
      <c r="AJ10" s="365">
        <f t="shared" si="19"/>
        <v>0</v>
      </c>
      <c r="AK10" s="63"/>
      <c r="AL10" s="459">
        <f>IF(CFE_RateCategory="DAC",INDEX(CFE_History_DAC!$A$4:$DX$37,MATCH(VLOOKUP(CFE_Region,ListData!$B$2:$C$8,2,FALSE),CFE_History_DAC!$A$4:$A$37,0)+1,MATCH($AD10,CFE_History_DAC!$A$2:$DX$2,0)),IF(CFE_RateCategory="Tarifa 2",INDEX(CFE_History_Tarifa2!$B$4:$DV$9,6,MATCH($AD10,CFE_History_Tarifa2!$B$2:$DV$2,0)),"NaN"))</f>
        <v>98.86</v>
      </c>
      <c r="AM10" s="459">
        <f>IF(CFE_RateCategory="DAC",INDEX(CFE_History_DAC!$A$4:$DX$37,MATCH(VLOOKUP(CFE_Region,ListData!$B$2:$C$8,2,FALSE),CFE_History_DAC!$A$4:$A$37,0)+2,MATCH($AD10,CFE_History_DAC!$A$2:$DX$2,0)),IF(CFE_RateCategory="Tarifa 2",IF(ISNUMBER(CustUsage_kWhPerYear),(MIN(CustUsage_kWhPerYear,50*12)*INDEX(CFE_History_Tarifa2!$B$4:$DV$9,2,MATCH($AD10,CFE_History_Tarifa2!$B$2:$DV$2,0))+MAX(0,MIN(CustUsage_kWhPerYear-50*12,50*12))*INDEX(CFE_History_Tarifa2!$B$4:$DV$9,3,MATCH($AD10,CFE_History_Tarifa2!$B$2:$DV$2,0))+MAX(CustUsage_kWhPerYear-100*12,0)*INDEX(CFE_History_Tarifa2!$B$4:$DV$9,4,MATCH($AD10,CFE_History_Tarifa2!$B$2:$DV$2,0)))/CustUsage_kWhPerYear,INDEX(CFE_History_Tarifa2!$B$4:$DV$9,4,MATCH($AD10,CFE_History_Tarifa2!$B$2:$DV$2,0))),"NaN"))</f>
        <v>4.3479999999999999</v>
      </c>
      <c r="AN10" s="415">
        <f t="shared" si="3"/>
        <v>2174</v>
      </c>
      <c r="AO10" s="365">
        <f t="shared" si="4"/>
        <v>2272.86</v>
      </c>
      <c r="AP10" s="365">
        <f t="shared" si="5"/>
        <v>227.28600000000003</v>
      </c>
      <c r="AQ10" s="365">
        <f t="shared" si="6"/>
        <v>363.6576</v>
      </c>
      <c r="AR10" s="366">
        <f t="shared" si="7"/>
        <v>2863.8036000000002</v>
      </c>
      <c r="AS10" s="415">
        <f t="shared" si="8"/>
        <v>0</v>
      </c>
      <c r="AT10" s="365">
        <f t="shared" si="20"/>
        <v>98.86</v>
      </c>
      <c r="AU10" s="365">
        <f t="shared" si="9"/>
        <v>9.886000000000001</v>
      </c>
      <c r="AV10" s="365">
        <f t="shared" si="10"/>
        <v>15.817600000000001</v>
      </c>
      <c r="AW10" s="365">
        <f t="shared" si="21"/>
        <v>124.56359999999999</v>
      </c>
      <c r="AX10" s="365">
        <f t="shared" si="11"/>
        <v>2082.8194316161316</v>
      </c>
      <c r="AY10" s="365">
        <f t="shared" si="22"/>
        <v>2207.3830316161316</v>
      </c>
      <c r="AZ10" s="366">
        <f t="shared" si="23"/>
        <v>656.42056838386861</v>
      </c>
      <c r="BA10" s="465"/>
    </row>
    <row r="11" spans="1:53" x14ac:dyDescent="0.15">
      <c r="A11" s="464"/>
      <c r="B11" s="434">
        <v>7</v>
      </c>
      <c r="C11" s="406"/>
      <c r="D11" s="407">
        <f ca="1">IFERROR(IF(B11&gt;Cust_LeaseTermYears,"N/A",MAX(Cust_NominalPymtAtTermEnd,INDEX(Model!$BW$86:$GA$86,1,MATCH(B11*12,Model!$BW$85:$GA$85,0)))+INDEX(Model!$BW$88:$GA$88,1,MATCH(B11*12,Model!$BW$85:$GA$85,0))),"N/A")</f>
        <v>85530.442620925969</v>
      </c>
      <c r="E11" s="407">
        <f ca="1">IFERROR(MAX(0,D11-SUM(F$5:F11)),"N/A")</f>
        <v>0</v>
      </c>
      <c r="F11" s="365">
        <f>Savings!AE12</f>
        <v>19836.776852708383</v>
      </c>
      <c r="G11" s="418" t="str">
        <f>IF($C$4&lt;=0,"Infinity",IFERROR(IRR(F$4:F11),"N/A"))</f>
        <v>Infinity</v>
      </c>
      <c r="H11" s="465"/>
      <c r="J11" s="464"/>
      <c r="K11" s="434">
        <v>7</v>
      </c>
      <c r="L11" s="409">
        <f t="shared" si="24"/>
        <v>0.37593703992309269</v>
      </c>
      <c r="M11" s="406">
        <v>0</v>
      </c>
      <c r="N11" s="407">
        <f>IF($K11&gt;Cust_LeaseTermYears,0,IF($M$4=0,0,-INDEX(Model!$D$40:$R$40,1,MATCH(K11,Model!$D$36:$R$36,0))*(1+$Z$6)))</f>
        <v>2368.6772026245121</v>
      </c>
      <c r="O11" s="365">
        <f>IF($K11&gt;Cust_LeaseTermYears,0,(((MAX(0,Savings!C12-(Savings!L12*(1-$Z$5)))-Savings!O12)*INDEX(Savings!$AK12:$AM12,1,MATCH(CFE_RateCategory,Savings!$AK$1:$AM$1,0)))+(IF($Z$5=0,0,(Savings!O12*(INDEX(Savings!$AK12:$AM12,1,MATCH(CFE_RateCategory,Savings!$AK$1:$AM$1,0))-Savings!R12)))))*(1+DAP+IVA))</f>
        <v>8318.6949989527056</v>
      </c>
      <c r="P11" s="365">
        <f t="shared" si="12"/>
        <v>10687.372201577218</v>
      </c>
      <c r="Q11" s="408">
        <f t="shared" si="13"/>
        <v>4017.7790700172854</v>
      </c>
      <c r="R11" s="406">
        <f t="shared" si="14"/>
        <v>0</v>
      </c>
      <c r="S11" s="407">
        <f>Savings!AB12</f>
        <v>30723.802561535824</v>
      </c>
      <c r="T11" s="365">
        <f t="shared" si="15"/>
        <v>30723.802561535824</v>
      </c>
      <c r="U11" s="365">
        <f t="shared" si="0"/>
        <v>11550.215390165311</v>
      </c>
      <c r="V11" s="408">
        <f t="shared" si="16"/>
        <v>-7532.4363201480255</v>
      </c>
      <c r="W11" s="465"/>
      <c r="AC11" s="464"/>
      <c r="AD11" s="435" t="s">
        <v>790</v>
      </c>
      <c r="AE11" s="436">
        <f>IFERROR(Inputs!B43,0)</f>
        <v>500</v>
      </c>
      <c r="AF11" s="437">
        <f t="shared" si="1"/>
        <v>5.73</v>
      </c>
      <c r="AG11" s="436">
        <f t="shared" si="2"/>
        <v>442.09735997625017</v>
      </c>
      <c r="AH11" s="436">
        <f t="shared" si="17"/>
        <v>57.902640023749825</v>
      </c>
      <c r="AI11" s="365">
        <f t="shared" si="18"/>
        <v>0</v>
      </c>
      <c r="AJ11" s="365">
        <f t="shared" si="19"/>
        <v>7.9709402224999621</v>
      </c>
      <c r="AK11" s="63"/>
      <c r="AL11" s="459">
        <f>IF(CFE_RateCategory="DAC",INDEX(CFE_History_DAC!$A$4:$DX$37,MATCH(VLOOKUP(CFE_Region,ListData!$B$2:$C$8,2,FALSE),CFE_History_DAC!$A$4:$A$37,0)+1,MATCH($AD11,CFE_History_DAC!$A$2:$DX$2,0)),IF(CFE_RateCategory="Tarifa 2",INDEX(CFE_History_Tarifa2!$B$4:$DV$9,6,MATCH($AD11,CFE_History_Tarifa2!$B$2:$DV$2,0)),"NaN"))</f>
        <v>98</v>
      </c>
      <c r="AM11" s="459">
        <f>IF(CFE_RateCategory="DAC",INDEX(CFE_History_DAC!$A$4:$DX$37,MATCH(VLOOKUP(CFE_Region,ListData!$B$2:$C$8,2,FALSE),CFE_History_DAC!$A$4:$A$37,0)+2,MATCH($AD11,CFE_History_DAC!$A$2:$DX$2,0)),IF(CFE_RateCategory="Tarifa 2",IF(ISNUMBER(CustUsage_kWhPerYear),(MIN(CustUsage_kWhPerYear,50*12)*INDEX(CFE_History_Tarifa2!$B$4:$DV$9,2,MATCH($AD11,CFE_History_Tarifa2!$B$2:$DV$2,0))+MAX(0,MIN(CustUsage_kWhPerYear-50*12,50*12))*INDEX(CFE_History_Tarifa2!$B$4:$DV$9,3,MATCH($AD11,CFE_History_Tarifa2!$B$2:$DV$2,0))+MAX(CustUsage_kWhPerYear-100*12,0)*INDEX(CFE_History_Tarifa2!$B$4:$DV$9,4,MATCH($AD11,CFE_History_Tarifa2!$B$2:$DV$2,0)))/CustUsage_kWhPerYear,INDEX(CFE_History_Tarifa2!$B$4:$DV$9,4,MATCH($AD11,CFE_History_Tarifa2!$B$2:$DV$2,0))),"NaN"))</f>
        <v>4.274</v>
      </c>
      <c r="AN11" s="415">
        <f t="shared" si="3"/>
        <v>2137</v>
      </c>
      <c r="AO11" s="365">
        <f t="shared" si="4"/>
        <v>2235</v>
      </c>
      <c r="AP11" s="365">
        <f t="shared" si="5"/>
        <v>223.5</v>
      </c>
      <c r="AQ11" s="365">
        <f t="shared" si="6"/>
        <v>357.6</v>
      </c>
      <c r="AR11" s="366">
        <f t="shared" si="7"/>
        <v>2816.1</v>
      </c>
      <c r="AS11" s="415">
        <f t="shared" si="8"/>
        <v>34.067798510964842</v>
      </c>
      <c r="AT11" s="365">
        <f t="shared" si="20"/>
        <v>132.06779851096485</v>
      </c>
      <c r="AU11" s="365">
        <f t="shared" si="9"/>
        <v>13.206779851096485</v>
      </c>
      <c r="AV11" s="365">
        <f t="shared" si="10"/>
        <v>21.130847761754378</v>
      </c>
      <c r="AW11" s="365">
        <f t="shared" si="21"/>
        <v>166.40542612381572</v>
      </c>
      <c r="AX11" s="365">
        <f t="shared" si="11"/>
        <v>2082.8194316161316</v>
      </c>
      <c r="AY11" s="365">
        <f t="shared" si="22"/>
        <v>2249.2248577399473</v>
      </c>
      <c r="AZ11" s="366">
        <f t="shared" si="23"/>
        <v>566.8751422600526</v>
      </c>
      <c r="BA11" s="465"/>
    </row>
    <row r="12" spans="1:53" x14ac:dyDescent="0.15">
      <c r="A12" s="464"/>
      <c r="B12" s="434">
        <v>8</v>
      </c>
      <c r="C12" s="406"/>
      <c r="D12" s="407">
        <f ca="1">IFERROR(IF(B12&gt;Cust_LeaseTermYears,"N/A",MAX(Cust_NominalPymtAtTermEnd,INDEX(Model!$BW$86:$GA$86,1,MATCH(B12*12,Model!$BW$85:$GA$85,0)))+INDEX(Model!$BW$88:$GA$88,1,MATCH(B12*12,Model!$BW$85:$GA$85,0))),"N/A")</f>
        <v>59494.792266042947</v>
      </c>
      <c r="E12" s="407">
        <f ca="1">IFERROR(MAX(0,D12-SUM(F$5:F12)),"N/A")</f>
        <v>0</v>
      </c>
      <c r="F12" s="365">
        <f>Savings!AE13</f>
        <v>22780.882838464415</v>
      </c>
      <c r="G12" s="418" t="str">
        <f>IF($C$4&lt;=0,"Infinity",IFERROR(IRR(F$4:F12),"N/A"))</f>
        <v>Infinity</v>
      </c>
      <c r="H12" s="465"/>
      <c r="J12" s="464"/>
      <c r="K12" s="434">
        <v>8</v>
      </c>
      <c r="L12" s="409">
        <f t="shared" si="24"/>
        <v>0.32690177384616753</v>
      </c>
      <c r="M12" s="406">
        <v>0</v>
      </c>
      <c r="N12" s="407">
        <f>IF($K12&gt;Cust_LeaseTermYears,0,IF($M$4=0,0,-INDEX(Model!$D$40:$R$40,1,MATCH(K12,Model!$D$36:$R$36,0))*(1+$Z$6)))</f>
        <v>2463.4242907294929</v>
      </c>
      <c r="O12" s="365">
        <f>IF($K12&gt;Cust_LeaseTermYears,0,(((MAX(0,Savings!C13-(Savings!L13*(1-$Z$5)))-Savings!O13)*INDEX(Savings!$AK13:$AM13,1,MATCH(CFE_RateCategory,Savings!$AK$1:$AM$1,0)))+(IF($Z$5=0,0,(Savings!O13*(INDEX(Savings!$AK13:$AM13,1,MATCH(CFE_RateCategory,Savings!$AK$1:$AM$1,0))-Savings!R13)))))*(1+DAP+IVA))</f>
        <v>9278.1319673187863</v>
      </c>
      <c r="P12" s="365">
        <f t="shared" si="12"/>
        <v>11741.55625804828</v>
      </c>
      <c r="Q12" s="408">
        <f t="shared" si="13"/>
        <v>3838.3355684705521</v>
      </c>
      <c r="R12" s="406">
        <f t="shared" si="14"/>
        <v>0</v>
      </c>
      <c r="S12" s="407">
        <f>Savings!AB13</f>
        <v>31799.135651189576</v>
      </c>
      <c r="T12" s="365">
        <f t="shared" si="15"/>
        <v>31799.135651189576</v>
      </c>
      <c r="U12" s="365">
        <f t="shared" si="0"/>
        <v>10395.193851148779</v>
      </c>
      <c r="V12" s="408">
        <f t="shared" si="16"/>
        <v>-6556.8582826782267</v>
      </c>
      <c r="W12" s="465"/>
      <c r="AC12" s="464"/>
      <c r="AD12" s="435" t="s">
        <v>791</v>
      </c>
      <c r="AE12" s="436">
        <f>IFERROR(Inputs!B44,0)</f>
        <v>500</v>
      </c>
      <c r="AF12" s="437">
        <f t="shared" si="1"/>
        <v>5.55</v>
      </c>
      <c r="AG12" s="436">
        <f t="shared" si="2"/>
        <v>428.20948479375005</v>
      </c>
      <c r="AH12" s="436">
        <f t="shared" si="17"/>
        <v>71.79051520624995</v>
      </c>
      <c r="AI12" s="365">
        <f t="shared" si="18"/>
        <v>0</v>
      </c>
      <c r="AJ12" s="365">
        <f t="shared" si="19"/>
        <v>71.79051520624995</v>
      </c>
      <c r="AK12" s="63"/>
      <c r="AL12" s="459">
        <f>IF(CFE_RateCategory="DAC",INDEX(CFE_History_DAC!$A$4:$DX$37,MATCH(VLOOKUP(CFE_Region,ListData!$B$2:$C$8,2,FALSE),CFE_History_DAC!$A$4:$A$37,0)+1,MATCH($AD12,CFE_History_DAC!$A$2:$DX$2,0)),IF(CFE_RateCategory="Tarifa 2",INDEX(CFE_History_Tarifa2!$B$4:$DV$9,6,MATCH($AD12,CFE_History_Tarifa2!$B$2:$DV$2,0)),"NaN"))</f>
        <v>97.51</v>
      </c>
      <c r="AM12" s="459">
        <f>IF(CFE_RateCategory="DAC",INDEX(CFE_History_DAC!$A$4:$DX$37,MATCH(VLOOKUP(CFE_Region,ListData!$B$2:$C$8,2,FALSE),CFE_History_DAC!$A$4:$A$37,0)+2,MATCH($AD12,CFE_History_DAC!$A$2:$DX$2,0)),IF(CFE_RateCategory="Tarifa 2",IF(ISNUMBER(CustUsage_kWhPerYear),(MIN(CustUsage_kWhPerYear,50*12)*INDEX(CFE_History_Tarifa2!$B$4:$DV$9,2,MATCH($AD12,CFE_History_Tarifa2!$B$2:$DV$2,0))+MAX(0,MIN(CustUsage_kWhPerYear-50*12,50*12))*INDEX(CFE_History_Tarifa2!$B$4:$DV$9,3,MATCH($AD12,CFE_History_Tarifa2!$B$2:$DV$2,0))+MAX(CustUsage_kWhPerYear-100*12,0)*INDEX(CFE_History_Tarifa2!$B$4:$DV$9,4,MATCH($AD12,CFE_History_Tarifa2!$B$2:$DV$2,0)))/CustUsage_kWhPerYear,INDEX(CFE_History_Tarifa2!$B$4:$DV$9,4,MATCH($AD12,CFE_History_Tarifa2!$B$2:$DV$2,0))),"NaN"))</f>
        <v>4.2350000000000003</v>
      </c>
      <c r="AN12" s="415">
        <f t="shared" si="3"/>
        <v>2117.5</v>
      </c>
      <c r="AO12" s="365">
        <f t="shared" si="4"/>
        <v>2215.0100000000002</v>
      </c>
      <c r="AP12" s="365">
        <f t="shared" si="5"/>
        <v>221.50100000000003</v>
      </c>
      <c r="AQ12" s="365">
        <f t="shared" si="6"/>
        <v>354.40160000000003</v>
      </c>
      <c r="AR12" s="366">
        <f t="shared" si="7"/>
        <v>2790.9126000000006</v>
      </c>
      <c r="AS12" s="415">
        <f t="shared" si="8"/>
        <v>304.03283189846854</v>
      </c>
      <c r="AT12" s="365">
        <f t="shared" si="20"/>
        <v>401.54283189846853</v>
      </c>
      <c r="AU12" s="365">
        <f t="shared" si="9"/>
        <v>40.154283189846858</v>
      </c>
      <c r="AV12" s="365">
        <f t="shared" si="10"/>
        <v>64.246853103754972</v>
      </c>
      <c r="AW12" s="365">
        <f t="shared" si="21"/>
        <v>505.94396819207037</v>
      </c>
      <c r="AX12" s="365">
        <f t="shared" si="11"/>
        <v>2082.8194316161316</v>
      </c>
      <c r="AY12" s="365">
        <f t="shared" si="22"/>
        <v>2588.7633998082019</v>
      </c>
      <c r="AZ12" s="366">
        <f t="shared" si="23"/>
        <v>202.14920019179863</v>
      </c>
      <c r="BA12" s="465"/>
    </row>
    <row r="13" spans="1:53" x14ac:dyDescent="0.15">
      <c r="A13" s="464"/>
      <c r="B13" s="434">
        <v>9</v>
      </c>
      <c r="C13" s="406"/>
      <c r="D13" s="407">
        <f ca="1">IFERROR(IF(B13&gt;Cust_LeaseTermYears,"N/A",MAX(Cust_NominalPymtAtTermEnd,INDEX(Model!$BW$86:$GA$86,1,MATCH(B13*12,Model!$BW$85:$GA$85,0)))+INDEX(Model!$BW$88:$GA$88,1,MATCH(B13*12,Model!$BW$85:$GA$85,0))),"N/A")</f>
        <v>35068.694426565955</v>
      </c>
      <c r="E13" s="407">
        <f ca="1">IFERROR(MAX(0,D13-SUM(F$5:F13)),"N/A")</f>
        <v>0</v>
      </c>
      <c r="F13" s="365">
        <f>Savings!AE14</f>
        <v>26010.284918549543</v>
      </c>
      <c r="G13" s="418" t="str">
        <f>IF($C$4&lt;=0,"Infinity",IFERROR(IRR(F$4:F13),"N/A"))</f>
        <v>Infinity</v>
      </c>
      <c r="H13" s="465"/>
      <c r="J13" s="464"/>
      <c r="K13" s="434">
        <v>9</v>
      </c>
      <c r="L13" s="409">
        <f t="shared" si="24"/>
        <v>0.28426241204014574</v>
      </c>
      <c r="M13" s="406">
        <v>0</v>
      </c>
      <c r="N13" s="407">
        <f>IF($K13&gt;Cust_LeaseTermYears,0,IF($M$4=0,0,-INDEX(Model!$D$40:$R$40,1,MATCH(K13,Model!$D$36:$R$36,0))*(1+$Z$6)))</f>
        <v>2561.9612623586727</v>
      </c>
      <c r="O13" s="365">
        <f>IF($K13&gt;Cust_LeaseTermYears,0,(((MAX(0,Savings!C14-(Savings!L14*(1-$Z$5)))-Savings!O14)*INDEX(Savings!$AK14:$AM14,1,MATCH(CFE_RateCategory,Savings!$AK$1:$AM$1,0)))+(IF($Z$5=0,0,(Savings!O14*(INDEX(Savings!$AK14:$AM14,1,MATCH(CFE_RateCategory,Savings!$AK$1:$AM$1,0))-Savings!R14)))))*(1+DAP+IVA))</f>
        <v>10338.835135517586</v>
      </c>
      <c r="P13" s="365">
        <f t="shared" si="12"/>
        <v>12900.796397876258</v>
      </c>
      <c r="Q13" s="408">
        <f t="shared" si="13"/>
        <v>3667.2115012991289</v>
      </c>
      <c r="R13" s="406">
        <f t="shared" si="14"/>
        <v>0</v>
      </c>
      <c r="S13" s="407">
        <f>Savings!AB14</f>
        <v>32912.105398981206</v>
      </c>
      <c r="T13" s="365">
        <f t="shared" si="15"/>
        <v>32912.105398981206</v>
      </c>
      <c r="U13" s="365">
        <f t="shared" si="0"/>
        <v>9355.6744660339009</v>
      </c>
      <c r="V13" s="408">
        <f t="shared" si="16"/>
        <v>-5688.462964734772</v>
      </c>
      <c r="W13" s="465"/>
      <c r="AC13" s="464"/>
      <c r="AD13" s="435" t="s">
        <v>792</v>
      </c>
      <c r="AE13" s="436">
        <f>IFERROR(Inputs!B45,0)</f>
        <v>500</v>
      </c>
      <c r="AF13" s="437">
        <f t="shared" si="1"/>
        <v>5.84</v>
      </c>
      <c r="AG13" s="436">
        <f t="shared" si="2"/>
        <v>450.58439480999994</v>
      </c>
      <c r="AH13" s="436">
        <f t="shared" si="17"/>
        <v>49.415605190000065</v>
      </c>
      <c r="AI13" s="365">
        <f t="shared" si="18"/>
        <v>0</v>
      </c>
      <c r="AJ13" s="365">
        <f t="shared" si="19"/>
        <v>49.415605190000065</v>
      </c>
      <c r="AK13" s="63"/>
      <c r="AL13" s="459">
        <f>IF(CFE_RateCategory="DAC",INDEX(CFE_History_DAC!$A$4:$DX$37,MATCH(VLOOKUP(CFE_Region,ListData!$B$2:$C$8,2,FALSE),CFE_History_DAC!$A$4:$A$37,0)+1,MATCH($AD13,CFE_History_DAC!$A$2:$DX$2,0)),IF(CFE_RateCategory="Tarifa 2",INDEX(CFE_History_Tarifa2!$B$4:$DV$9,6,MATCH($AD13,CFE_History_Tarifa2!$B$2:$DV$2,0)),"NaN"))</f>
        <v>92.86</v>
      </c>
      <c r="AM13" s="459">
        <f>IF(CFE_RateCategory="DAC",INDEX(CFE_History_DAC!$A$4:$DX$37,MATCH(VLOOKUP(CFE_Region,ListData!$B$2:$C$8,2,FALSE),CFE_History_DAC!$A$4:$A$37,0)+2,MATCH($AD13,CFE_History_DAC!$A$2:$DX$2,0)),IF(CFE_RateCategory="Tarifa 2",IF(ISNUMBER(CustUsage_kWhPerYear),(MIN(CustUsage_kWhPerYear,50*12)*INDEX(CFE_History_Tarifa2!$B$4:$DV$9,2,MATCH($AD13,CFE_History_Tarifa2!$B$2:$DV$2,0))+MAX(0,MIN(CustUsage_kWhPerYear-50*12,50*12))*INDEX(CFE_History_Tarifa2!$B$4:$DV$9,3,MATCH($AD13,CFE_History_Tarifa2!$B$2:$DV$2,0))+MAX(CustUsage_kWhPerYear-100*12,0)*INDEX(CFE_History_Tarifa2!$B$4:$DV$9,4,MATCH($AD13,CFE_History_Tarifa2!$B$2:$DV$2,0)))/CustUsage_kWhPerYear,INDEX(CFE_History_Tarifa2!$B$4:$DV$9,4,MATCH($AD13,CFE_History_Tarifa2!$B$2:$DV$2,0))),"NaN"))</f>
        <v>3.8660000000000001</v>
      </c>
      <c r="AN13" s="415">
        <f t="shared" si="3"/>
        <v>1933</v>
      </c>
      <c r="AO13" s="365">
        <f t="shared" si="4"/>
        <v>2025.86</v>
      </c>
      <c r="AP13" s="365">
        <f t="shared" si="5"/>
        <v>202.58600000000001</v>
      </c>
      <c r="AQ13" s="365">
        <f t="shared" si="6"/>
        <v>324.13759999999996</v>
      </c>
      <c r="AR13" s="366">
        <f t="shared" si="7"/>
        <v>2552.5835999999999</v>
      </c>
      <c r="AS13" s="415">
        <f t="shared" si="8"/>
        <v>191.04072966454027</v>
      </c>
      <c r="AT13" s="365">
        <f t="shared" si="20"/>
        <v>283.90072966454028</v>
      </c>
      <c r="AU13" s="365">
        <f t="shared" si="9"/>
        <v>28.390072966454028</v>
      </c>
      <c r="AV13" s="365">
        <f t="shared" si="10"/>
        <v>45.424116746326447</v>
      </c>
      <c r="AW13" s="365">
        <f t="shared" si="21"/>
        <v>357.71491937732077</v>
      </c>
      <c r="AX13" s="365">
        <f t="shared" si="11"/>
        <v>2082.8194316161316</v>
      </c>
      <c r="AY13" s="365">
        <f t="shared" si="22"/>
        <v>2440.5343509934523</v>
      </c>
      <c r="AZ13" s="366">
        <f t="shared" si="23"/>
        <v>112.0492490065476</v>
      </c>
      <c r="BA13" s="465"/>
    </row>
    <row r="14" spans="1:53" x14ac:dyDescent="0.15">
      <c r="A14" s="464"/>
      <c r="B14" s="434">
        <v>10</v>
      </c>
      <c r="C14" s="406"/>
      <c r="D14" s="407">
        <f ca="1">IFERROR(IF(B14&gt;Cust_LeaseTermYears,"N/A",MAX(Cust_NominalPymtAtTermEnd,INDEX(Model!$BW$86:$GA$86,1,MATCH(B14*12,Model!$BW$85:$GA$85,0)))+INDEX(Model!$BW$88:$GA$88,1,MATCH(B14*12,Model!$BW$85:$GA$85,0))),"N/A")</f>
        <v>33403.419606032818</v>
      </c>
      <c r="E14" s="407">
        <f ca="1">IFERROR(MAX(0,D14-SUM(F$5:F14)),"N/A")</f>
        <v>0</v>
      </c>
      <c r="F14" s="365">
        <f>Savings!AE15</f>
        <v>29549.633864165677</v>
      </c>
      <c r="G14" s="418" t="str">
        <f>IF($C$4&lt;=0,"Infinity",IFERROR(IRR(F$4:F14),"N/A"))</f>
        <v>Infinity</v>
      </c>
      <c r="H14" s="465"/>
      <c r="J14" s="464"/>
      <c r="K14" s="434">
        <v>10</v>
      </c>
      <c r="L14" s="409">
        <f t="shared" si="24"/>
        <v>0.24718470612186585</v>
      </c>
      <c r="M14" s="406">
        <v>0</v>
      </c>
      <c r="N14" s="407">
        <f>IF($K14&gt;Cust_LeaseTermYears,0,IF($M$4=0,0,-INDEX(Model!$D$40:$R$40,1,MATCH(K14,Model!$D$36:$R$36,0))*(1+$Z$6)))</f>
        <v>2664.43971285302</v>
      </c>
      <c r="O14" s="365">
        <f>IF($K14&gt;Cust_LeaseTermYears,0,(((MAX(0,Savings!C15-(Savings!L15*(1-$Z$5)))-Savings!O15)*INDEX(Savings!$AK15:$AM15,1,MATCH(CFE_RateCategory,Savings!$AK$1:$AM$1,0)))+(IF($Z$5=0,0,(Savings!O15*(INDEX(Savings!$AK15:$AM15,1,MATCH(CFE_RateCategory,Savings!$AK$1:$AM$1,0))-Savings!R15)))))*(1+DAP+IVA))</f>
        <v>11510.715032713015</v>
      </c>
      <c r="P14" s="365">
        <f t="shared" si="12"/>
        <v>14175.154745566035</v>
      </c>
      <c r="Q14" s="408">
        <f t="shared" si="13"/>
        <v>3503.8814600147125</v>
      </c>
      <c r="R14" s="406">
        <f t="shared" si="14"/>
        <v>0</v>
      </c>
      <c r="S14" s="407">
        <f>Savings!AB15</f>
        <v>34064.02908794555</v>
      </c>
      <c r="T14" s="365">
        <f t="shared" si="15"/>
        <v>34064.02908794555</v>
      </c>
      <c r="U14" s="365">
        <f t="shared" si="0"/>
        <v>8420.1070194305103</v>
      </c>
      <c r="V14" s="408">
        <f t="shared" si="16"/>
        <v>-4916.2255594157978</v>
      </c>
      <c r="W14" s="465"/>
      <c r="AC14" s="464"/>
      <c r="AD14" s="435" t="s">
        <v>793</v>
      </c>
      <c r="AE14" s="436">
        <f>IFERROR(Inputs!B46,0)</f>
        <v>500</v>
      </c>
      <c r="AF14" s="437">
        <f t="shared" si="1"/>
        <v>6.19</v>
      </c>
      <c r="AG14" s="436">
        <f t="shared" si="2"/>
        <v>477.58859655375005</v>
      </c>
      <c r="AH14" s="436">
        <f t="shared" si="17"/>
        <v>22.411403446249949</v>
      </c>
      <c r="AI14" s="365">
        <f t="shared" si="18"/>
        <v>0</v>
      </c>
      <c r="AJ14" s="365">
        <f t="shared" si="19"/>
        <v>22.411403446249949</v>
      </c>
      <c r="AK14" s="63"/>
      <c r="AL14" s="459">
        <f>IF(CFE_RateCategory="DAC",INDEX(CFE_History_DAC!$A$4:$DX$37,MATCH(VLOOKUP(CFE_Region,ListData!$B$2:$C$8,2,FALSE),CFE_History_DAC!$A$4:$A$37,0)+1,MATCH($AD14,CFE_History_DAC!$A$2:$DX$2,0)),IF(CFE_RateCategory="Tarifa 2",INDEX(CFE_History_Tarifa2!$B$4:$DV$9,6,MATCH($AD14,CFE_History_Tarifa2!$B$2:$DV$2,0)),"NaN"))</f>
        <v>93.97</v>
      </c>
      <c r="AM14" s="459">
        <f>IF(CFE_RateCategory="DAC",INDEX(CFE_History_DAC!$A$4:$DX$37,MATCH(VLOOKUP(CFE_Region,ListData!$B$2:$C$8,2,FALSE),CFE_History_DAC!$A$4:$A$37,0)+2,MATCH($AD14,CFE_History_DAC!$A$2:$DX$2,0)),IF(CFE_RateCategory="Tarifa 2",IF(ISNUMBER(CustUsage_kWhPerYear),(MIN(CustUsage_kWhPerYear,50*12)*INDEX(CFE_History_Tarifa2!$B$4:$DV$9,2,MATCH($AD14,CFE_History_Tarifa2!$B$2:$DV$2,0))+MAX(0,MIN(CustUsage_kWhPerYear-50*12,50*12))*INDEX(CFE_History_Tarifa2!$B$4:$DV$9,3,MATCH($AD14,CFE_History_Tarifa2!$B$2:$DV$2,0))+MAX(CustUsage_kWhPerYear-100*12,0)*INDEX(CFE_History_Tarifa2!$B$4:$DV$9,4,MATCH($AD14,CFE_History_Tarifa2!$B$2:$DV$2,0)))/CustUsage_kWhPerYear,INDEX(CFE_History_Tarifa2!$B$4:$DV$9,4,MATCH($AD14,CFE_History_Tarifa2!$B$2:$DV$2,0))),"NaN"))</f>
        <v>3.9940000000000002</v>
      </c>
      <c r="AN14" s="415">
        <f t="shared" si="3"/>
        <v>1997</v>
      </c>
      <c r="AO14" s="365">
        <f t="shared" si="4"/>
        <v>2090.9699999999998</v>
      </c>
      <c r="AP14" s="365">
        <f t="shared" si="5"/>
        <v>209.09699999999998</v>
      </c>
      <c r="AQ14" s="365">
        <f t="shared" si="6"/>
        <v>334.55519999999996</v>
      </c>
      <c r="AR14" s="366">
        <f t="shared" si="7"/>
        <v>2634.6221999999998</v>
      </c>
      <c r="AS14" s="415">
        <f t="shared" si="8"/>
        <v>89.511145364322303</v>
      </c>
      <c r="AT14" s="365">
        <f t="shared" si="20"/>
        <v>183.48114536432229</v>
      </c>
      <c r="AU14" s="365">
        <f>AT14*DAP</f>
        <v>18.348114536432231</v>
      </c>
      <c r="AV14" s="365">
        <f>AT14*IVA</f>
        <v>29.356983258291567</v>
      </c>
      <c r="AW14" s="365">
        <f t="shared" si="21"/>
        <v>231.18624315904609</v>
      </c>
      <c r="AX14" s="365">
        <f t="shared" si="11"/>
        <v>2082.8194316161316</v>
      </c>
      <c r="AY14" s="365">
        <f t="shared" si="22"/>
        <v>2314.0056747751778</v>
      </c>
      <c r="AZ14" s="366">
        <f t="shared" si="23"/>
        <v>320.616525224822</v>
      </c>
      <c r="BA14" s="465"/>
    </row>
    <row r="15" spans="1:53" x14ac:dyDescent="0.15">
      <c r="A15" s="464"/>
      <c r="B15" s="434">
        <v>11</v>
      </c>
      <c r="C15" s="406"/>
      <c r="D15" s="407">
        <f ca="1">IFERROR(IF(B15&gt;Cust_LeaseTermYears,"N/A",MAX(Cust_NominalPymtAtTermEnd,INDEX(Model!$BW$86:$GA$86,1,MATCH(B15*12,Model!$BW$85:$GA$85,0)))+INDEX(Model!$BW$88:$GA$88,1,MATCH(B15*12,Model!$BW$85:$GA$85,0))),"N/A")</f>
        <v>31671.533792678354</v>
      </c>
      <c r="E15" s="407">
        <f ca="1">IFERROR(MAX(0,D15-SUM(F$5:F15)),"N/A")</f>
        <v>0</v>
      </c>
      <c r="F15" s="365">
        <f>Savings!AE16</f>
        <v>33425.619686233287</v>
      </c>
      <c r="G15" s="418" t="str">
        <f>IF($C$4&lt;=0,"Infinity",IFERROR(IRR(F$4:F15),"N/A"))</f>
        <v>Infinity</v>
      </c>
      <c r="H15" s="465"/>
      <c r="J15" s="464"/>
      <c r="K15" s="434">
        <v>11</v>
      </c>
      <c r="L15" s="409">
        <f t="shared" si="24"/>
        <v>0.21494322271466598</v>
      </c>
      <c r="M15" s="406">
        <v>0</v>
      </c>
      <c r="N15" s="407">
        <f>IF($K15&gt;Cust_LeaseTermYears,0,IF($M$4=0,0,-INDEX(Model!$D$40:$R$40,1,MATCH(K15,Model!$D$36:$R$36,0))*(1+$Z$6)))</f>
        <v>2771.0173013671406</v>
      </c>
      <c r="O15" s="365">
        <f>IF($K15&gt;Cust_LeaseTermYears,0,(((MAX(0,Savings!C16-(Savings!L16*(1-$Z$5)))-Savings!O16)*INDEX(Savings!$AK16:$AM16,1,MATCH(CFE_RateCategory,Savings!$AK$1:$AM$1,0)))+(IF($Z$5=0,0,(Savings!O16*(INDEX(Savings!$AK16:$AM16,1,MATCH(CFE_RateCategory,Savings!$AK$1:$AM$1,0))-Savings!R16)))))*(1+DAP+IVA))</f>
        <v>12804.604325577524</v>
      </c>
      <c r="P15" s="365">
        <f t="shared" si="12"/>
        <v>15575.621626944665</v>
      </c>
      <c r="Q15" s="408">
        <f t="shared" si="13"/>
        <v>3347.874308279735</v>
      </c>
      <c r="R15" s="406">
        <f t="shared" si="14"/>
        <v>0</v>
      </c>
      <c r="S15" s="407">
        <f>Savings!AB16</f>
        <v>35256.270106023643</v>
      </c>
      <c r="T15" s="365">
        <f t="shared" si="15"/>
        <v>35256.270106023643</v>
      </c>
      <c r="U15" s="365">
        <f t="shared" si="0"/>
        <v>7578.0963174874605</v>
      </c>
      <c r="V15" s="408">
        <f t="shared" si="16"/>
        <v>-4230.2220092077259</v>
      </c>
      <c r="W15" s="465"/>
      <c r="AC15" s="464"/>
      <c r="AD15" s="435" t="s">
        <v>794</v>
      </c>
      <c r="AE15" s="436">
        <f>IFERROR(Inputs!B47,0)</f>
        <v>500</v>
      </c>
      <c r="AF15" s="437">
        <f t="shared" si="1"/>
        <v>5.54</v>
      </c>
      <c r="AG15" s="436">
        <f t="shared" si="2"/>
        <v>427.43793617250003</v>
      </c>
      <c r="AH15" s="436">
        <f t="shared" si="17"/>
        <v>72.562063827499969</v>
      </c>
      <c r="AI15" s="365">
        <f t="shared" si="18"/>
        <v>0</v>
      </c>
      <c r="AJ15" s="365">
        <f t="shared" si="19"/>
        <v>72.562063827499969</v>
      </c>
      <c r="AK15" s="63"/>
      <c r="AL15" s="459">
        <f>IF(CFE_RateCategory="DAC",INDEX(CFE_History_DAC!$A$4:$DX$37,MATCH(VLOOKUP(CFE_Region,ListData!$B$2:$C$8,2,FALSE),CFE_History_DAC!$A$4:$A$37,0)+1,MATCH($AD15,CFE_History_DAC!$A$2:$DX$2,0)),IF(CFE_RateCategory="Tarifa 2",INDEX(CFE_History_Tarifa2!$B$4:$DV$9,6,MATCH($AD15,CFE_History_Tarifa2!$B$2:$DV$2,0)),"NaN"))</f>
        <v>94.17</v>
      </c>
      <c r="AM15" s="459">
        <f>IF(CFE_RateCategory="DAC",INDEX(CFE_History_DAC!$A$4:$DX$37,MATCH(VLOOKUP(CFE_Region,ListData!$B$2:$C$8,2,FALSE),CFE_History_DAC!$A$4:$A$37,0)+2,MATCH($AD15,CFE_History_DAC!$A$2:$DX$2,0)),IF(CFE_RateCategory="Tarifa 2",IF(ISNUMBER(CustUsage_kWhPerYear),(MIN(CustUsage_kWhPerYear,50*12)*INDEX(CFE_History_Tarifa2!$B$4:$DV$9,2,MATCH($AD15,CFE_History_Tarifa2!$B$2:$DV$2,0))+MAX(0,MIN(CustUsage_kWhPerYear-50*12,50*12))*INDEX(CFE_History_Tarifa2!$B$4:$DV$9,3,MATCH($AD15,CFE_History_Tarifa2!$B$2:$DV$2,0))+MAX(CustUsage_kWhPerYear-100*12,0)*INDEX(CFE_History_Tarifa2!$B$4:$DV$9,4,MATCH($AD15,CFE_History_Tarifa2!$B$2:$DV$2,0)))/CustUsage_kWhPerYear,INDEX(CFE_History_Tarifa2!$B$4:$DV$9,4,MATCH($AD15,CFE_History_Tarifa2!$B$2:$DV$2,0))),"NaN"))</f>
        <v>4.05</v>
      </c>
      <c r="AN15" s="461">
        <f t="shared" si="3"/>
        <v>2025</v>
      </c>
      <c r="AO15" s="462">
        <f t="shared" si="4"/>
        <v>2119.17</v>
      </c>
      <c r="AP15" s="462">
        <f t="shared" si="5"/>
        <v>211.91700000000003</v>
      </c>
      <c r="AQ15" s="462">
        <f t="shared" si="6"/>
        <v>339.06720000000001</v>
      </c>
      <c r="AR15" s="460">
        <f t="shared" si="7"/>
        <v>2670.1541999999999</v>
      </c>
      <c r="AS15" s="461">
        <f t="shared" si="8"/>
        <v>293.87635850137485</v>
      </c>
      <c r="AT15" s="462">
        <f t="shared" si="20"/>
        <v>388.04635850137487</v>
      </c>
      <c r="AU15" s="462">
        <f>AT15*DAP</f>
        <v>38.804635850137487</v>
      </c>
      <c r="AV15" s="462">
        <f>AT15*IVA</f>
        <v>62.08741736021998</v>
      </c>
      <c r="AW15" s="462">
        <f t="shared" si="21"/>
        <v>488.93841171173233</v>
      </c>
      <c r="AX15" s="462">
        <f t="shared" si="11"/>
        <v>2082.8194316161316</v>
      </c>
      <c r="AY15" s="462">
        <f t="shared" si="22"/>
        <v>2571.7578433278641</v>
      </c>
      <c r="AZ15" s="460">
        <f t="shared" si="23"/>
        <v>98.39635667213588</v>
      </c>
      <c r="BA15" s="465"/>
    </row>
    <row r="16" spans="1:53" x14ac:dyDescent="0.15">
      <c r="A16" s="464"/>
      <c r="B16" s="434">
        <v>12</v>
      </c>
      <c r="C16" s="406"/>
      <c r="D16" s="407">
        <f ca="1">IFERROR(IF(B16&gt;Cust_LeaseTermYears,"N/A",MAX(Cust_NominalPymtAtTermEnd,INDEX(Model!$BW$86:$GA$86,1,MATCH(B16*12,Model!$BW$85:$GA$85,0)))+INDEX(Model!$BW$88:$GA$88,1,MATCH(B16*12,Model!$BW$85:$GA$85,0))),"N/A")</f>
        <v>5947.4051429726223</v>
      </c>
      <c r="E16" s="407">
        <f ca="1">IFERROR(MAX(0,D16-SUM(F$5:F16)),"N/A")</f>
        <v>0</v>
      </c>
      <c r="F16" s="365">
        <f>Savings!AE17</f>
        <v>37667.137249160129</v>
      </c>
      <c r="G16" s="418" t="str">
        <f>IF($C$4&lt;=0,"Infinity",IFERROR(IRR(F$4:F16),"N/A"))</f>
        <v>Infinity</v>
      </c>
      <c r="H16" s="465"/>
      <c r="J16" s="464"/>
      <c r="K16" s="434">
        <v>12</v>
      </c>
      <c r="L16" s="409">
        <f t="shared" si="24"/>
        <v>0.18690715018666609</v>
      </c>
      <c r="M16" s="406">
        <v>0</v>
      </c>
      <c r="N16" s="407">
        <f>IF($K16&gt;Cust_LeaseTermYears,0,IF($M$4=0,0,-INDEX(Model!$D$40:$R$40,1,MATCH(K16,Model!$D$36:$R$36,0))*(1+$Z$6)))</f>
        <v>41158.605839529169</v>
      </c>
      <c r="O16" s="365">
        <f>IF($K16&gt;Cust_LeaseTermYears,0,(((MAX(0,Savings!C17-(Savings!L17*(1-$Z$5)))-Savings!O17)*INDEX(Savings!$AK17:$AM17,1,MATCH(CFE_RateCategory,Savings!$AK$1:$AM$1,0)))+(IF($Z$5=0,0,(Savings!O17*(INDEX(Savings!$AK17:$AM17,1,MATCH(CFE_RateCategory,Savings!$AK$1:$AM$1,0))-Savings!R17)))))*(1+DAP+IVA))</f>
        <v>14232.340783008915</v>
      </c>
      <c r="P16" s="365">
        <f t="shared" si="12"/>
        <v>55390.946622538082</v>
      </c>
      <c r="Q16" s="408">
        <f t="shared" si="13"/>
        <v>10352.963979360331</v>
      </c>
      <c r="R16" s="406">
        <f t="shared" si="14"/>
        <v>0</v>
      </c>
      <c r="S16" s="407">
        <f>Savings!AB17</f>
        <v>36490.239559734466</v>
      </c>
      <c r="T16" s="365">
        <f t="shared" si="15"/>
        <v>36490.239559734466</v>
      </c>
      <c r="U16" s="365">
        <f t="shared" si="0"/>
        <v>6820.2866857387144</v>
      </c>
      <c r="V16" s="408">
        <f t="shared" si="16"/>
        <v>3532.6772936216166</v>
      </c>
      <c r="W16" s="465"/>
      <c r="AC16" s="464"/>
      <c r="AD16" s="435"/>
      <c r="AE16" s="436"/>
      <c r="AF16" s="437"/>
      <c r="AG16" s="436"/>
      <c r="AH16" s="436"/>
      <c r="AI16" s="365"/>
      <c r="AJ16" s="365"/>
      <c r="AK16" s="63"/>
      <c r="AL16" s="459"/>
      <c r="AM16" s="459"/>
      <c r="AN16" s="365"/>
      <c r="AO16" s="365"/>
      <c r="AP16" s="365"/>
      <c r="AQ16" s="365"/>
      <c r="AR16" s="365"/>
      <c r="AS16" s="365"/>
      <c r="AT16" s="365"/>
      <c r="AU16" s="365"/>
      <c r="AV16" s="365"/>
      <c r="AW16" s="365"/>
      <c r="AX16" s="365"/>
      <c r="AY16" s="365"/>
      <c r="AZ16" s="365"/>
      <c r="BA16" s="465"/>
    </row>
    <row r="17" spans="1:53" x14ac:dyDescent="0.15">
      <c r="A17" s="464"/>
      <c r="B17" s="434">
        <v>13</v>
      </c>
      <c r="C17" s="406"/>
      <c r="D17" s="407">
        <f ca="1">IFERROR(IF(B17&gt;Cust_LeaseTermYears,"N/A",MAX(Cust_NominalPymtAtTermEnd,INDEX(Model!$BW$86:$GA$86,1,MATCH(B17*12,Model!$BW$85:$GA$85,0)))+INDEX(Model!$BW$88:$GA$88,1,MATCH(B17*12,Model!$BW$85:$GA$85,0))),"N/A")</f>
        <v>4074.1974472484353</v>
      </c>
      <c r="E17" s="407">
        <f ca="1">IFERROR(MAX(0,D17-SUM(F$5:F17)),"N/A")</f>
        <v>0</v>
      </c>
      <c r="F17" s="365">
        <f>Savings!AE18</f>
        <v>42305.465225064952</v>
      </c>
      <c r="G17" s="418" t="str">
        <f>IF($C$4&lt;=0,"Infinity",IFERROR(IRR(F$4:F17),"N/A"))</f>
        <v>Infinity</v>
      </c>
      <c r="H17" s="465"/>
      <c r="J17" s="464"/>
      <c r="K17" s="434">
        <v>13</v>
      </c>
      <c r="L17" s="409">
        <f t="shared" si="24"/>
        <v>0.16252795668405748</v>
      </c>
      <c r="M17" s="406">
        <v>0</v>
      </c>
      <c r="N17" s="407">
        <f>IF($K17&gt;Cust_LeaseTermYears,0,IF($M$4=0,0,-INDEX(Model!$D$40:$R$40,1,MATCH(K17,Model!$D$36:$R$36,0))*(1+$Z$6)))</f>
        <v>2997.1323131586996</v>
      </c>
      <c r="O17" s="365">
        <f>IF($K17&gt;Cust_LeaseTermYears,0,(((MAX(0,Savings!C18-(Savings!L18*(1-$Z$5)))-Savings!O18)*INDEX(Savings!$AK18:$AM18,1,MATCH(CFE_RateCategory,Savings!$AK$1:$AM$1,0)))+(IF($Z$5=0,0,(Savings!O18*(INDEX(Savings!$AK18:$AM18,1,MATCH(CFE_RateCategory,Savings!$AK$1:$AM$1,0))-Savings!R18)))))*(1+DAP+IVA))</f>
        <v>15806.857533789267</v>
      </c>
      <c r="P17" s="365">
        <f t="shared" si="12"/>
        <v>18803.989846947967</v>
      </c>
      <c r="Q17" s="408">
        <f t="shared" si="13"/>
        <v>3056.1740473322157</v>
      </c>
      <c r="R17" s="406">
        <f t="shared" si="14"/>
        <v>0</v>
      </c>
      <c r="S17" s="407">
        <f>Savings!AB18</f>
        <v>37767.397944325166</v>
      </c>
      <c r="T17" s="365">
        <f t="shared" si="15"/>
        <v>37767.397944325166</v>
      </c>
      <c r="U17" s="365">
        <f t="shared" si="0"/>
        <v>6138.2580171648424</v>
      </c>
      <c r="V17" s="408">
        <f t="shared" si="16"/>
        <v>-3082.0839698326267</v>
      </c>
      <c r="W17" s="465"/>
      <c r="AC17" s="464"/>
      <c r="AD17" s="435"/>
      <c r="AE17" s="436"/>
      <c r="AF17" s="437"/>
      <c r="AG17" s="436"/>
      <c r="AH17" s="436"/>
      <c r="AI17" s="365"/>
      <c r="AJ17" s="365"/>
      <c r="AK17" s="63"/>
      <c r="AL17" s="500" t="s">
        <v>998</v>
      </c>
      <c r="AM17" s="513">
        <f>AVERAGE(AM4:AM15)</f>
        <v>4.2670833333333329</v>
      </c>
      <c r="AN17" s="365"/>
      <c r="AO17" s="365"/>
      <c r="AP17" s="365"/>
      <c r="AQ17" s="365"/>
      <c r="AR17" s="365"/>
      <c r="AS17" s="365"/>
      <c r="AT17" s="365"/>
      <c r="AU17" s="365"/>
      <c r="AV17" s="365"/>
      <c r="AW17" s="365"/>
      <c r="AX17" s="365"/>
      <c r="AY17" s="407" t="s">
        <v>999</v>
      </c>
      <c r="AZ17" s="512">
        <f>AI19*AM18*(1+CFE_YrIncreasePct)*(1+DAP+IVA)</f>
        <v>0</v>
      </c>
      <c r="BA17" s="465"/>
    </row>
    <row r="18" spans="1:53" x14ac:dyDescent="0.15">
      <c r="A18" s="464"/>
      <c r="B18" s="434">
        <v>14</v>
      </c>
      <c r="C18" s="406"/>
      <c r="D18" s="407">
        <f ca="1">IFERROR(IF(B18&gt;Cust_LeaseTermYears,"N/A",MAX(Cust_NominalPymtAtTermEnd,INDEX(Model!$BW$86:$GA$86,1,MATCH(B18*12,Model!$BW$85:$GA$85,0)))+INDEX(Model!$BW$88:$GA$88,1,MATCH(B18*12,Model!$BW$85:$GA$85,0))),"N/A")</f>
        <v>2126.061443695281</v>
      </c>
      <c r="E18" s="407">
        <f ca="1">IFERROR(MAX(0,D18-SUM(F$5:F18)),"N/A")</f>
        <v>0</v>
      </c>
      <c r="F18" s="365">
        <f>Savings!AE19</f>
        <v>47374.459459074387</v>
      </c>
      <c r="G18" s="418" t="str">
        <f>IF($C$4&lt;=0,"Infinity",IFERROR(IRR(F$4:F18),"N/A"))</f>
        <v>Infinity</v>
      </c>
      <c r="H18" s="465"/>
      <c r="J18" s="464"/>
      <c r="K18" s="434">
        <v>14</v>
      </c>
      <c r="L18" s="409">
        <f t="shared" si="24"/>
        <v>0.14132865798613695</v>
      </c>
      <c r="M18" s="406">
        <v>0</v>
      </c>
      <c r="N18" s="407">
        <f>IF($K18&gt;Cust_LeaseTermYears,0,IF($M$4=0,0,-INDEX(Model!$D$40:$R$40,1,MATCH(K18,Model!$D$36:$R$36,0))*(1+$Z$6)))</f>
        <v>3117.0176056850473</v>
      </c>
      <c r="O18" s="365">
        <f>IF($K18&gt;Cust_LeaseTermYears,0,(((MAX(0,Savings!C19-(Savings!L19*(1-$Z$5)))-Savings!O19)*INDEX(Savings!$AK19:$AM19,1,MATCH(CFE_RateCategory,Savings!$AK$1:$AM$1,0)))+(IF($Z$5=0,0,(Savings!O19*(INDEX(Savings!$AK19:$AM19,1,MATCH(CFE_RateCategory,Savings!$AK$1:$AM$1,0))-Savings!R19)))))*(1+DAP+IVA))</f>
        <v>17542.28124760717</v>
      </c>
      <c r="P18" s="365">
        <f t="shared" si="12"/>
        <v>20659.298853292217</v>
      </c>
      <c r="Q18" s="408">
        <f t="shared" si="13"/>
        <v>2919.750981870327</v>
      </c>
      <c r="R18" s="406">
        <f t="shared" si="14"/>
        <v>0</v>
      </c>
      <c r="S18" s="407">
        <f>Savings!AB19</f>
        <v>39089.256872376543</v>
      </c>
      <c r="T18" s="365">
        <f t="shared" si="15"/>
        <v>39089.256872376543</v>
      </c>
      <c r="U18" s="365">
        <f t="shared" si="0"/>
        <v>5524.432215448358</v>
      </c>
      <c r="V18" s="408">
        <f t="shared" si="16"/>
        <v>-2604.681233578031</v>
      </c>
      <c r="W18" s="465"/>
      <c r="AC18" s="464"/>
      <c r="AD18" s="63"/>
      <c r="AE18" s="63"/>
      <c r="AF18" s="63"/>
      <c r="AG18" s="63"/>
      <c r="AH18" s="63"/>
      <c r="AI18" s="63"/>
      <c r="AJ18" s="63"/>
      <c r="AK18" s="63"/>
      <c r="AL18" s="500" t="s">
        <v>986</v>
      </c>
      <c r="AM18" s="514">
        <f>IFERROR(SUMPRODUCT(AE4:AE15,AM4:AM15)/AE19,AM17)</f>
        <v>4.2670833333333329</v>
      </c>
      <c r="AN18" s="158"/>
      <c r="AO18" s="158"/>
      <c r="AP18" s="158"/>
      <c r="AQ18" s="158"/>
      <c r="AR18" s="158"/>
      <c r="AS18" s="158"/>
      <c r="AT18" s="158"/>
      <c r="AU18" s="158"/>
      <c r="AV18" s="158"/>
      <c r="AW18" s="158"/>
      <c r="AX18" s="158"/>
      <c r="AY18" s="158"/>
      <c r="AZ18" s="63"/>
      <c r="BA18" s="465"/>
    </row>
    <row r="19" spans="1:53" x14ac:dyDescent="0.15">
      <c r="A19" s="464"/>
      <c r="B19" s="494">
        <v>15</v>
      </c>
      <c r="C19" s="469"/>
      <c r="D19" s="470">
        <f ca="1">IFERROR(IF(B19&gt;Cust_LeaseTermYears,"N/A",MAX(Cust_NominalPymtAtTermEnd,INDEX(Model!$BW$86:$GA$86,1,MATCH(B19*12,Model!$BW$85:$GA$85,0)))+INDEX(Model!$BW$88:$GA$88,1,MATCH(B19*12,Model!$BW$85:$GA$85,0))),"N/A")</f>
        <v>100</v>
      </c>
      <c r="E19" s="470">
        <f ca="1">IFERROR(MAX(0,D19-SUM(F$5:F19)),"N/A")</f>
        <v>0</v>
      </c>
      <c r="F19" s="462">
        <f>Savings!AE20</f>
        <v>52910.761902084356</v>
      </c>
      <c r="G19" s="471" t="str">
        <f>IF($C$4&lt;=0,"Infinity",IFERROR(IRR(F$4:F19),"N/A"))</f>
        <v>Infinity</v>
      </c>
      <c r="H19" s="465"/>
      <c r="J19" s="464"/>
      <c r="K19" s="494">
        <v>15</v>
      </c>
      <c r="L19" s="480">
        <f t="shared" si="24"/>
        <v>0.1228944852053365</v>
      </c>
      <c r="M19" s="469">
        <v>0</v>
      </c>
      <c r="N19" s="470">
        <f>IF($K19&gt;Cust_LeaseTermYears,0,IF($M$4=0,0,-INDEX(Model!$D$40:$R$40,1,MATCH(K19,Model!$D$36:$R$36,0))*(1+$Z$6)))</f>
        <v>3241.6983099124495</v>
      </c>
      <c r="O19" s="462">
        <f>IF($K19&gt;Cust_LeaseTermYears,0,(((MAX(0,Savings!C20-(Savings!L20*(1-$Z$5)))-Savings!O20)*INDEX(Savings!$AK20:$AM20,1,MATCH(CFE_RateCategory,Savings!$AK$1:$AM$1,0)))+(IF($Z$5=0,0,(Savings!O20*(INDEX(Savings!$AK20:$AM20,1,MATCH(CFE_RateCategory,Savings!$AK$1:$AM$1,0))-Savings!R20)))))*(1+DAP+IVA))</f>
        <v>19454.038923676668</v>
      </c>
      <c r="P19" s="462">
        <f t="shared" si="12"/>
        <v>22695.737233589116</v>
      </c>
      <c r="Q19" s="481">
        <f t="shared" si="13"/>
        <v>2789.1809436775225</v>
      </c>
      <c r="R19" s="469">
        <f t="shared" si="14"/>
        <v>100</v>
      </c>
      <c r="S19" s="470">
        <f>Savings!AB20</f>
        <v>40457.380862909718</v>
      </c>
      <c r="T19" s="462">
        <f t="shared" si="15"/>
        <v>40557.380862909718</v>
      </c>
      <c r="U19" s="462">
        <f t="shared" si="0"/>
        <v>4984.2784424240563</v>
      </c>
      <c r="V19" s="481">
        <f t="shared" si="16"/>
        <v>-2195.0974987465338</v>
      </c>
      <c r="W19" s="465"/>
      <c r="AC19" s="464"/>
      <c r="AD19" s="472" t="s">
        <v>26</v>
      </c>
      <c r="AE19" s="436">
        <f>SUM(AE4:AE15)</f>
        <v>6000</v>
      </c>
      <c r="AF19" s="437">
        <f>AVERAGE(AF4:AF15)</f>
        <v>6.1975000000000007</v>
      </c>
      <c r="AG19" s="436">
        <f>SUM(AG4:AG15)</f>
        <v>5738.0070962362497</v>
      </c>
      <c r="AH19" s="437"/>
      <c r="AI19" s="365">
        <f>AI15</f>
        <v>0</v>
      </c>
      <c r="AJ19" s="365">
        <f>SUM(AJ4:AJ15)</f>
        <v>261.99290376374989</v>
      </c>
      <c r="AK19" s="63"/>
      <c r="AL19" s="515" t="s">
        <v>26</v>
      </c>
      <c r="AN19" s="158"/>
      <c r="AO19" s="158"/>
      <c r="AP19" s="158"/>
      <c r="AQ19" s="158"/>
      <c r="AR19" s="511">
        <f>SUM(AR4:AR15)</f>
        <v>33729.695999999996</v>
      </c>
      <c r="AS19" s="158"/>
      <c r="AT19" s="158"/>
      <c r="AU19" s="158"/>
      <c r="AV19" s="158"/>
      <c r="AW19" s="511">
        <f>SUM(AW4:AW15)</f>
        <v>2818.4962403563381</v>
      </c>
      <c r="AX19" s="511">
        <f>SUM(AX4:AX15)</f>
        <v>24993.833179393579</v>
      </c>
      <c r="AY19" s="158"/>
      <c r="AZ19" s="516">
        <f>SUM(AZ4:AZ17)</f>
        <v>5917.3665802500827</v>
      </c>
      <c r="BA19" s="465"/>
    </row>
    <row r="20" spans="1:53" x14ac:dyDescent="0.15">
      <c r="A20" s="464"/>
      <c r="B20" s="63"/>
      <c r="C20" s="63"/>
      <c r="D20" s="63"/>
      <c r="E20" s="63"/>
      <c r="F20" s="63"/>
      <c r="G20" s="407"/>
      <c r="H20" s="465"/>
      <c r="J20" s="464"/>
      <c r="K20" s="63"/>
      <c r="L20" s="63"/>
      <c r="M20" s="63"/>
      <c r="N20" s="63"/>
      <c r="O20" s="63"/>
      <c r="P20" s="63"/>
      <c r="Q20" s="63"/>
      <c r="R20" s="63"/>
      <c r="S20" s="63"/>
      <c r="T20" s="63"/>
      <c r="U20" s="63"/>
      <c r="V20" s="63"/>
      <c r="W20" s="465"/>
      <c r="AC20" s="464"/>
      <c r="AD20" s="63"/>
      <c r="AE20" s="63"/>
      <c r="AG20" s="437"/>
      <c r="AH20" s="437"/>
      <c r="AI20" s="63"/>
      <c r="AJ20" s="63"/>
      <c r="AK20" s="63"/>
      <c r="AN20" s="158"/>
      <c r="AO20" s="158"/>
      <c r="AP20" s="158"/>
      <c r="AQ20" s="158"/>
      <c r="AR20" s="158"/>
      <c r="AS20" s="158"/>
      <c r="AT20" s="158"/>
      <c r="AU20" s="158"/>
      <c r="AV20" s="158"/>
      <c r="AW20" s="158"/>
      <c r="AX20" s="158"/>
      <c r="AY20" s="158"/>
      <c r="AZ20" s="63"/>
      <c r="BA20" s="465"/>
    </row>
    <row r="21" spans="1:53" x14ac:dyDescent="0.15">
      <c r="A21" s="464"/>
      <c r="B21" s="472" t="s">
        <v>33</v>
      </c>
      <c r="C21" s="473">
        <f>SUM(C4:C19)</f>
        <v>0</v>
      </c>
      <c r="D21" s="63"/>
      <c r="E21" s="63"/>
      <c r="F21" s="473">
        <f>SUM(F4:F19)</f>
        <v>381225.92405478569</v>
      </c>
      <c r="G21" s="63"/>
      <c r="H21" s="465"/>
      <c r="J21" s="464"/>
      <c r="K21" s="472" t="s">
        <v>974</v>
      </c>
      <c r="L21" s="63"/>
      <c r="M21" s="482">
        <f t="shared" ref="M21:V21" si="25">SUM(M4:M19)</f>
        <v>118904.92553846151</v>
      </c>
      <c r="N21" s="482">
        <f t="shared" si="25"/>
        <v>75760.903903831</v>
      </c>
      <c r="O21" s="482">
        <f t="shared" si="25"/>
        <v>152524.94997011844</v>
      </c>
      <c r="P21" s="482">
        <f t="shared" si="25"/>
        <v>347190.77941241098</v>
      </c>
      <c r="Q21" s="482">
        <f t="shared" si="25"/>
        <v>183825.76019102801</v>
      </c>
      <c r="R21" s="482">
        <f t="shared" si="25"/>
        <v>100</v>
      </c>
      <c r="S21" s="482">
        <f t="shared" si="25"/>
        <v>482273.02896337188</v>
      </c>
      <c r="T21" s="482">
        <f t="shared" si="25"/>
        <v>482373.02896337188</v>
      </c>
      <c r="U21" s="482">
        <f t="shared" si="25"/>
        <v>172602.06832420258</v>
      </c>
      <c r="V21" s="483">
        <f t="shared" si="25"/>
        <v>11223.691866825353</v>
      </c>
      <c r="W21" s="465"/>
      <c r="AC21" s="464"/>
      <c r="AD21" s="63"/>
      <c r="AE21" s="63"/>
      <c r="AF21" s="437"/>
      <c r="AG21" s="437"/>
      <c r="AH21" s="437"/>
      <c r="AI21" s="63"/>
      <c r="AJ21" s="63"/>
      <c r="AK21" s="63"/>
      <c r="AL21" s="158"/>
      <c r="AM21" s="377"/>
      <c r="AN21" s="158"/>
      <c r="AO21" s="158"/>
      <c r="AP21" s="158"/>
      <c r="AQ21" s="158"/>
      <c r="AR21" s="158"/>
      <c r="AS21" s="158"/>
      <c r="AT21" s="158"/>
      <c r="AU21" s="158"/>
      <c r="AV21" s="158"/>
      <c r="AW21" s="158"/>
      <c r="AX21" s="158"/>
      <c r="AY21" s="158"/>
      <c r="AZ21" s="63"/>
      <c r="BA21" s="465"/>
    </row>
    <row r="22" spans="1:53" ht="11.25" thickBot="1" x14ac:dyDescent="0.2">
      <c r="A22" s="474"/>
      <c r="B22" s="475"/>
      <c r="C22" s="475"/>
      <c r="D22" s="475"/>
      <c r="E22" s="475"/>
      <c r="F22" s="475"/>
      <c r="G22" s="475"/>
      <c r="H22" s="476"/>
      <c r="J22" s="474"/>
      <c r="K22" s="475"/>
      <c r="L22" s="475"/>
      <c r="M22" s="475"/>
      <c r="N22" s="475"/>
      <c r="O22" s="475"/>
      <c r="P22" s="475"/>
      <c r="Q22" s="475"/>
      <c r="R22" s="475"/>
      <c r="S22" s="475"/>
      <c r="T22" s="475"/>
      <c r="U22" s="475"/>
      <c r="V22" s="475"/>
      <c r="W22" s="476"/>
      <c r="AC22" s="464"/>
      <c r="AD22" s="63"/>
      <c r="AE22" s="63"/>
      <c r="AF22" s="63"/>
      <c r="AG22" s="63"/>
      <c r="AH22" s="63"/>
      <c r="AI22" s="63"/>
      <c r="AJ22" s="63"/>
      <c r="AK22" s="63"/>
      <c r="AL22" s="63"/>
      <c r="AM22" s="63"/>
      <c r="AN22" s="63"/>
      <c r="AO22" s="63"/>
      <c r="AP22" s="63"/>
      <c r="AQ22" s="63"/>
      <c r="AR22" s="63"/>
      <c r="AS22" s="63"/>
      <c r="AT22" s="63"/>
      <c r="AU22" s="63"/>
      <c r="AV22" s="63"/>
      <c r="AW22" s="63"/>
      <c r="AX22" s="63"/>
      <c r="AY22" s="63"/>
      <c r="AZ22" s="63"/>
      <c r="BA22" s="465"/>
    </row>
    <row r="23" spans="1:53" ht="11.25" thickTop="1" x14ac:dyDescent="0.15">
      <c r="Y23" s="833" t="s">
        <v>811</v>
      </c>
      <c r="Z23" s="834"/>
      <c r="AA23" s="835"/>
      <c r="AB23" s="463"/>
      <c r="AC23" s="464"/>
      <c r="AD23" s="63"/>
      <c r="AE23" s="63"/>
      <c r="AF23" s="63"/>
      <c r="AG23" s="63"/>
      <c r="AH23" s="63"/>
      <c r="AI23" s="63"/>
      <c r="AJ23" s="63"/>
      <c r="AK23" s="63"/>
      <c r="AL23" s="63"/>
      <c r="AM23" s="63"/>
      <c r="AN23" s="63"/>
      <c r="AO23" s="63"/>
      <c r="AP23" s="63"/>
      <c r="AQ23" s="63"/>
      <c r="AR23" s="63"/>
      <c r="AS23" s="63"/>
      <c r="AT23" s="63"/>
      <c r="AU23" s="63"/>
      <c r="AV23" s="63"/>
      <c r="AW23" s="63"/>
      <c r="AX23" s="63"/>
      <c r="AY23" s="63"/>
      <c r="AZ23" s="63"/>
      <c r="BA23" s="465"/>
    </row>
    <row r="24" spans="1:53" x14ac:dyDescent="0.15">
      <c r="Y24" s="68" t="s">
        <v>810</v>
      </c>
      <c r="Z24" s="63" t="s">
        <v>809</v>
      </c>
      <c r="AA24" s="64" t="s">
        <v>808</v>
      </c>
      <c r="AB24" s="63"/>
      <c r="AC24" s="464"/>
      <c r="AD24" s="63"/>
      <c r="AE24" s="63"/>
      <c r="AF24" s="63"/>
      <c r="AG24" s="63"/>
      <c r="AH24" s="63"/>
      <c r="AI24" s="63"/>
      <c r="AJ24" s="63"/>
      <c r="AK24" s="63"/>
      <c r="AL24" s="63"/>
      <c r="AM24" s="63"/>
      <c r="AN24" s="63"/>
      <c r="AO24" s="63"/>
      <c r="AP24" s="63"/>
      <c r="AQ24" s="63"/>
      <c r="AR24" s="63"/>
      <c r="AS24" s="63"/>
      <c r="AT24" s="63"/>
      <c r="AU24" s="63"/>
      <c r="AV24" s="63"/>
      <c r="AW24" s="63"/>
      <c r="AX24" s="63"/>
      <c r="AY24" s="63"/>
      <c r="AZ24" s="63"/>
      <c r="BA24" s="465"/>
    </row>
    <row r="25" spans="1:53" x14ac:dyDescent="0.15">
      <c r="Y25" s="415">
        <f>((MAX(0,Savings!C6-(Savings!L6*(1-$Z$5)))-Savings!O6)*INDEX(Savings!$AK6:$AM6,1,MATCH(CFE_RateCategory,Savings!$AK$1:$AM$1,0)))</f>
        <v>2448.4554446898101</v>
      </c>
      <c r="Z25" s="365">
        <f>IF($Z$5=0,0,(Savings!O6*(INDEX(Savings!$AK6:$AM6,1,MATCH(CFE_RateCategory,Savings!$AK$1:$AM$1,0))-Savings!R6)))</f>
        <v>0</v>
      </c>
      <c r="AA25" s="366">
        <f t="shared" ref="AA25:AA39" si="26">SUM(Y25:Z25)*(1+DAP+IVA)</f>
        <v>3085.0538603091609</v>
      </c>
      <c r="AB25" s="365"/>
      <c r="AC25" s="464"/>
      <c r="AD25" s="63"/>
      <c r="AE25" s="63"/>
      <c r="AF25" s="63"/>
      <c r="AG25" s="63"/>
      <c r="AH25" s="63"/>
      <c r="AI25" s="63"/>
      <c r="AJ25" s="63"/>
      <c r="AK25" s="63"/>
      <c r="AL25" s="63"/>
      <c r="AM25" s="63"/>
      <c r="AN25" s="63"/>
      <c r="AO25" s="63"/>
      <c r="AP25" s="63"/>
      <c r="AQ25" s="63"/>
      <c r="AR25" s="63"/>
      <c r="AS25" s="63"/>
      <c r="AT25" s="63"/>
      <c r="AU25" s="63"/>
      <c r="AV25" s="63"/>
      <c r="AW25" s="63"/>
      <c r="AX25" s="63"/>
      <c r="AY25" s="63"/>
      <c r="AZ25" s="63"/>
      <c r="BA25" s="465"/>
    </row>
    <row r="26" spans="1:53" x14ac:dyDescent="0.15">
      <c r="Y26" s="415">
        <f>((MAX(0,Savings!C7-(Savings!L7*(1-$Z$5)))-Savings!O7)*INDEX(Savings!$AK7:$AM7,1,MATCH(CFE_RateCategory,Savings!$AK$1:$AM$1,0)))</f>
        <v>2625.8215571031405</v>
      </c>
      <c r="Z26" s="365">
        <f>IF($Z$5=0,0,(Savings!O7*(INDEX(Savings!$AK7:$AM7,1,MATCH(CFE_RateCategory,Savings!$AK$1:$AM$1,0))-Savings!R7)))</f>
        <v>1143.2878968897062</v>
      </c>
      <c r="AA26" s="366">
        <f t="shared" si="26"/>
        <v>4749.0779120309871</v>
      </c>
      <c r="AB26" s="365"/>
      <c r="AC26" s="486"/>
      <c r="AD26" s="63"/>
      <c r="AE26" s="63"/>
      <c r="AF26" s="63"/>
      <c r="AG26" s="63"/>
      <c r="AH26" s="63"/>
      <c r="AI26" s="63"/>
      <c r="AJ26" s="63"/>
      <c r="AK26" s="63"/>
      <c r="AL26" s="63"/>
      <c r="AM26" s="63"/>
      <c r="AN26" s="63"/>
      <c r="AO26" s="63"/>
      <c r="AP26" s="63"/>
      <c r="AQ26" s="63"/>
      <c r="AR26" s="63"/>
      <c r="AS26" s="63"/>
      <c r="AT26" s="63"/>
      <c r="AU26" s="63"/>
      <c r="AV26" s="63"/>
      <c r="AW26" s="63"/>
      <c r="AX26" s="63"/>
      <c r="AY26" s="63"/>
      <c r="AZ26" s="63"/>
      <c r="BA26" s="465"/>
    </row>
    <row r="27" spans="1:53" x14ac:dyDescent="0.15">
      <c r="Y27" s="415">
        <f>((MAX(0,Savings!C8-(Savings!L8*(1-$Z$5)))-Savings!O8)*INDEX(Savings!$AK8:$AM8,1,MATCH(CFE_RateCategory,Savings!$AK$1:$AM$1,0)))</f>
        <v>2816.0360706996898</v>
      </c>
      <c r="Z27" s="365">
        <f>IF($Z$5=0,0,(Savings!O8*(INDEX(Savings!$AK8:$AM8,1,MATCH(CFE_RateCategory,Savings!$AK$1:$AM$1,0))-Savings!R8)))</f>
        <v>1409.0212807945718</v>
      </c>
      <c r="AA27" s="366">
        <f t="shared" si="26"/>
        <v>5323.5722628827698</v>
      </c>
      <c r="AB27" s="365"/>
      <c r="AC27" s="464"/>
      <c r="AD27" s="63"/>
      <c r="AE27" s="63"/>
      <c r="AF27" s="63"/>
      <c r="AG27" s="63"/>
      <c r="AH27" s="63"/>
      <c r="AI27" s="63"/>
      <c r="AJ27" s="63"/>
      <c r="AK27" s="63"/>
      <c r="AL27" s="63"/>
      <c r="AM27" s="63"/>
      <c r="AN27" s="63"/>
      <c r="AO27" s="63"/>
      <c r="AP27" s="63"/>
      <c r="AQ27" s="63"/>
      <c r="AR27" s="63"/>
      <c r="AS27" s="63"/>
      <c r="AT27" s="63"/>
      <c r="AU27" s="63"/>
      <c r="AV27" s="63"/>
      <c r="AW27" s="63"/>
      <c r="AX27" s="63"/>
      <c r="AY27" s="63"/>
      <c r="AZ27" s="63"/>
      <c r="BA27" s="465"/>
    </row>
    <row r="28" spans="1:53" x14ac:dyDescent="0.15">
      <c r="Y28" s="415">
        <f>((MAX(0,Savings!C9-(Savings!L9*(1-$Z$5)))-Savings!O9)*INDEX(Savings!$AK9:$AM9,1,MATCH(CFE_RateCategory,Savings!$AK$1:$AM$1,0)))</f>
        <v>3020.0297236611773</v>
      </c>
      <c r="Z28" s="365">
        <f>IF($Z$5=0,0,(Savings!O9*(INDEX(Savings!$AK9:$AM9,1,MATCH(CFE_RateCategory,Savings!$AK$1:$AM$1,0))-Savings!R9)))</f>
        <v>1711.0413131162538</v>
      </c>
      <c r="AA28" s="366">
        <f t="shared" si="26"/>
        <v>5961.1495063395632</v>
      </c>
      <c r="AB28" s="365"/>
      <c r="AC28" s="487"/>
      <c r="AD28" s="63"/>
      <c r="AE28" s="63"/>
      <c r="AF28" s="63"/>
      <c r="AG28" s="63"/>
      <c r="AH28" s="63"/>
      <c r="AI28" s="63"/>
      <c r="AJ28" s="63"/>
      <c r="AK28" s="63"/>
      <c r="AL28" s="63"/>
      <c r="AM28" s="63"/>
      <c r="AN28" s="63"/>
      <c r="AO28" s="63"/>
      <c r="AP28" s="63"/>
      <c r="AQ28" s="63"/>
      <c r="AR28" s="63"/>
      <c r="AS28" s="63"/>
      <c r="AT28" s="63"/>
      <c r="AU28" s="63"/>
      <c r="AV28" s="63"/>
      <c r="AW28" s="63"/>
      <c r="AX28" s="63"/>
      <c r="AY28" s="63"/>
      <c r="AZ28" s="63"/>
      <c r="BA28" s="465"/>
    </row>
    <row r="29" spans="1:53" x14ac:dyDescent="0.15">
      <c r="Y29" s="415">
        <f>((MAX(0,Savings!C10-(Savings!L10*(1-$Z$5)))-Savings!O10)*INDEX(Savings!$AK10:$AM10,1,MATCH(CFE_RateCategory,Savings!$AK$1:$AM$1,0)))</f>
        <v>3238.8006768431947</v>
      </c>
      <c r="Z29" s="365">
        <f>IF($Z$5=0,0,(Savings!O10*(INDEX(Savings!$AK10:$AM10,1,MATCH(CFE_RateCategory,Savings!$AK$1:$AM$1,0))-Savings!R10)))</f>
        <v>2053.3714614182386</v>
      </c>
      <c r="AA29" s="366">
        <f t="shared" si="26"/>
        <v>6668.1368942094059</v>
      </c>
      <c r="AB29" s="365"/>
      <c r="AC29" s="487"/>
      <c r="AD29" s="63"/>
      <c r="AE29" s="63"/>
      <c r="AF29" s="63"/>
      <c r="AG29" s="63"/>
      <c r="AH29" s="63"/>
      <c r="AI29" s="63"/>
      <c r="AJ29" s="63"/>
      <c r="AK29" s="63"/>
      <c r="AL29" s="63"/>
      <c r="AM29" s="63"/>
      <c r="AN29" s="63"/>
      <c r="AO29" s="63"/>
      <c r="AP29" s="63"/>
      <c r="AQ29" s="63"/>
      <c r="AR29" s="63"/>
      <c r="AS29" s="63"/>
      <c r="AT29" s="63"/>
      <c r="AU29" s="63"/>
      <c r="AV29" s="63"/>
      <c r="AW29" s="63"/>
      <c r="AX29" s="63"/>
      <c r="AY29" s="63"/>
      <c r="AZ29" s="63"/>
      <c r="BA29" s="465"/>
    </row>
    <row r="30" spans="1:53" x14ac:dyDescent="0.15">
      <c r="Y30" s="415">
        <f>((MAX(0,Savings!C11-(Savings!L11*(1-$Z$5)))-Savings!O11)*INDEX(Savings!$AK11:$AM11,1,MATCH(CFE_RateCategory,Savings!$AK$1:$AM$1,0)))</f>
        <v>3473.4193978737148</v>
      </c>
      <c r="Z30" s="365">
        <f>IF($Z$5=0,0,(Savings!O11*(INDEX(Savings!$AK11:$AM11,1,MATCH(CFE_RateCategory,Savings!$AK$1:$AM$1,0))-Savings!R11)))</f>
        <v>2440.4374165587442</v>
      </c>
      <c r="AA30" s="366">
        <f t="shared" si="26"/>
        <v>7451.4595861848984</v>
      </c>
      <c r="AB30" s="365"/>
      <c r="AC30" s="487"/>
      <c r="AD30" s="63"/>
      <c r="AE30" s="63"/>
      <c r="AF30" s="63"/>
      <c r="AG30" s="63"/>
      <c r="AH30" s="63"/>
      <c r="AI30" s="63"/>
      <c r="AJ30" s="63"/>
      <c r="AK30" s="63"/>
      <c r="AL30" s="63"/>
      <c r="AM30" s="63"/>
      <c r="AN30" s="63"/>
      <c r="AO30" s="63"/>
      <c r="AP30" s="63"/>
      <c r="AQ30" s="63"/>
      <c r="AR30" s="63"/>
      <c r="AS30" s="63"/>
      <c r="AT30" s="63"/>
      <c r="AU30" s="63"/>
      <c r="AV30" s="63"/>
      <c r="AW30" s="63"/>
      <c r="AX30" s="63"/>
      <c r="AY30" s="63"/>
      <c r="AZ30" s="63"/>
      <c r="BA30" s="465"/>
    </row>
    <row r="31" spans="1:53" x14ac:dyDescent="0.15">
      <c r="Y31" s="415">
        <f>((MAX(0,Savings!C12-(Savings!L12*(1-$Z$5)))-Savings!O12)*INDEX(Savings!$AK12:$AM12,1,MATCH(CFE_RateCategory,Savings!$AK$1:$AM$1,0)))</f>
        <v>3725.0338990556838</v>
      </c>
      <c r="Z31" s="365">
        <f>IF($Z$5=0,0,(Savings!O12*(INDEX(Savings!$AK12:$AM12,1,MATCH(CFE_RateCategory,Savings!$AK$1:$AM$1,0))-Savings!R12)))</f>
        <v>2877.104989002019</v>
      </c>
      <c r="AA31" s="366">
        <f t="shared" si="26"/>
        <v>8318.6949989527056</v>
      </c>
      <c r="AB31" s="365"/>
      <c r="AC31" s="487"/>
      <c r="AD31" s="63"/>
      <c r="AE31" s="63"/>
      <c r="AF31" s="63"/>
      <c r="AG31" s="63"/>
      <c r="AH31" s="63"/>
      <c r="AI31" s="63"/>
      <c r="AJ31" s="63"/>
      <c r="AK31" s="63"/>
      <c r="AL31" s="63"/>
      <c r="AM31" s="63"/>
      <c r="AN31" s="63"/>
      <c r="AO31" s="63"/>
      <c r="AP31" s="63"/>
      <c r="AQ31" s="63"/>
      <c r="AR31" s="63"/>
      <c r="AS31" s="63"/>
      <c r="AT31" s="63"/>
      <c r="AU31" s="63"/>
      <c r="AV31" s="63"/>
      <c r="AW31" s="63"/>
      <c r="AX31" s="63"/>
      <c r="AY31" s="63"/>
      <c r="AZ31" s="63"/>
      <c r="BA31" s="465"/>
    </row>
    <row r="32" spans="1:53" x14ac:dyDescent="0.15">
      <c r="Y32" s="415">
        <f>((MAX(0,Savings!C13-(Savings!L13*(1-$Z$5)))-Savings!O13)*INDEX(Savings!$AK13:$AM13,1,MATCH(CFE_RateCategory,Savings!$AK$1:$AM$1,0)))</f>
        <v>3994.875354703282</v>
      </c>
      <c r="Z32" s="365">
        <f>IF($Z$5=0,0,(Savings!O13*(INDEX(Savings!$AK13:$AM13,1,MATCH(CFE_RateCategory,Savings!$AK$1:$AM$1,0))-Savings!R13)))</f>
        <v>3368.7214447560723</v>
      </c>
      <c r="AA32" s="366">
        <f t="shared" si="26"/>
        <v>9278.1319673187863</v>
      </c>
      <c r="AB32" s="365"/>
      <c r="AC32" s="487"/>
      <c r="AD32" s="63"/>
      <c r="AE32" s="63"/>
      <c r="AF32" s="63"/>
      <c r="AG32" s="63"/>
      <c r="AH32" s="63"/>
      <c r="AI32" s="63"/>
      <c r="AJ32" s="63"/>
      <c r="AK32" s="63"/>
      <c r="AL32" s="63"/>
      <c r="AM32" s="63"/>
      <c r="AN32" s="63"/>
      <c r="AO32" s="63"/>
      <c r="AP32" s="63"/>
      <c r="AQ32" s="63"/>
      <c r="AR32" s="63"/>
      <c r="AS32" s="63"/>
      <c r="AT32" s="63"/>
      <c r="AU32" s="63"/>
      <c r="AV32" s="63"/>
      <c r="AW32" s="63"/>
      <c r="AX32" s="63"/>
      <c r="AY32" s="63"/>
      <c r="AZ32" s="63"/>
      <c r="BA32" s="465"/>
    </row>
    <row r="33" spans="25:53" x14ac:dyDescent="0.15">
      <c r="Y33" s="415">
        <f>((MAX(0,Savings!C14-(Savings!L14*(1-$Z$5)))-Savings!O14)*INDEX(Savings!$AK14:$AM14,1,MATCH(CFE_RateCategory,Savings!$AK$1:$AM$1,0)))</f>
        <v>4284.2641253979873</v>
      </c>
      <c r="Z33" s="365">
        <f>IF($Z$5=0,0,(Savings!O14*(INDEX(Savings!$AK14:$AM14,1,MATCH(CFE_RateCategory,Savings!$AK$1:$AM$1,0))-Savings!R14)))</f>
        <v>3921.1605853302558</v>
      </c>
      <c r="AA33" s="366">
        <f t="shared" si="26"/>
        <v>10338.835135517586</v>
      </c>
      <c r="AB33" s="365"/>
      <c r="AC33" s="487"/>
      <c r="AD33" s="63"/>
      <c r="AE33" s="63"/>
      <c r="AF33" s="63"/>
      <c r="AG33" s="63"/>
      <c r="AH33" s="63"/>
      <c r="AI33" s="63"/>
      <c r="AJ33" s="63"/>
      <c r="AK33" s="63"/>
      <c r="AL33" s="63"/>
      <c r="AM33" s="63"/>
      <c r="AN33" s="63"/>
      <c r="AO33" s="63"/>
      <c r="AP33" s="63"/>
      <c r="AQ33" s="63"/>
      <c r="AR33" s="63"/>
      <c r="AS33" s="63"/>
      <c r="AT33" s="63"/>
      <c r="AU33" s="63"/>
      <c r="AV33" s="63"/>
      <c r="AW33" s="63"/>
      <c r="AX33" s="63"/>
      <c r="AY33" s="63"/>
      <c r="AZ33" s="63"/>
      <c r="BA33" s="465"/>
    </row>
    <row r="34" spans="25:53" x14ac:dyDescent="0.15">
      <c r="Y34" s="415">
        <f>((MAX(0,Savings!C15-(Savings!L15*(1-$Z$5)))-Savings!O15)*INDEX(Savings!$AK15:$AM15,1,MATCH(CFE_RateCategory,Savings!$AK$1:$AM$1,0)))</f>
        <v>4594.6162186418142</v>
      </c>
      <c r="Z34" s="365">
        <f>IF($Z$5=0,0,(Savings!O15*(INDEX(Savings!$AK15:$AM15,1,MATCH(CFE_RateCategory,Savings!$AK$1:$AM$1,0))-Savings!R15)))</f>
        <v>4540.8719025589917</v>
      </c>
      <c r="AA34" s="366">
        <f t="shared" si="26"/>
        <v>11510.715032713015</v>
      </c>
      <c r="AB34" s="365"/>
      <c r="AC34" s="487"/>
      <c r="AD34" s="63"/>
      <c r="AE34" s="63"/>
      <c r="AF34" s="63"/>
      <c r="AG34" s="63"/>
      <c r="AH34" s="63"/>
      <c r="AI34" s="63"/>
      <c r="AJ34" s="63"/>
      <c r="AK34" s="63"/>
      <c r="AL34" s="63"/>
      <c r="AM34" s="63"/>
      <c r="AN34" s="63"/>
      <c r="AO34" s="63"/>
      <c r="AP34" s="63"/>
      <c r="AQ34" s="63"/>
      <c r="AR34" s="63"/>
      <c r="AS34" s="63"/>
      <c r="AT34" s="63"/>
      <c r="AU34" s="63"/>
      <c r="AV34" s="63"/>
      <c r="AW34" s="63"/>
      <c r="AX34" s="63"/>
      <c r="AY34" s="63"/>
      <c r="AZ34" s="63"/>
      <c r="BA34" s="465"/>
    </row>
    <row r="35" spans="25:53" x14ac:dyDescent="0.15">
      <c r="Y35" s="415">
        <f>((MAX(0,Savings!C16-(Savings!L16*(1-$Z$5)))-Savings!O16)*INDEX(Savings!$AK16:$AM16,1,MATCH(CFE_RateCategory,Savings!$AK$1:$AM$1,0)))</f>
        <v>4927.450217520226</v>
      </c>
      <c r="Z35" s="365">
        <f>IF($Z$5=0,0,(Savings!O16*(INDEX(Savings!$AK16:$AM16,1,MATCH(CFE_RateCategory,Savings!$AK$1:$AM$1,0))-Savings!R16)))</f>
        <v>5234.9341678587625</v>
      </c>
      <c r="AA35" s="366">
        <f t="shared" si="26"/>
        <v>12804.604325577524</v>
      </c>
      <c r="AB35" s="365"/>
      <c r="AC35" s="487"/>
      <c r="AD35" s="63"/>
      <c r="AE35" s="63"/>
      <c r="AF35" s="63"/>
      <c r="AG35" s="63"/>
      <c r="AH35" s="63"/>
      <c r="AI35" s="63"/>
      <c r="AJ35" s="63"/>
      <c r="AK35" s="63"/>
      <c r="AL35" s="63"/>
      <c r="AM35" s="63"/>
      <c r="AN35" s="63"/>
      <c r="AO35" s="63"/>
      <c r="AP35" s="63"/>
      <c r="AQ35" s="63"/>
      <c r="AR35" s="63"/>
      <c r="AS35" s="63"/>
      <c r="AT35" s="63"/>
      <c r="AU35" s="63"/>
      <c r="AV35" s="63"/>
      <c r="AW35" s="63"/>
      <c r="AX35" s="63"/>
      <c r="AY35" s="63"/>
      <c r="AZ35" s="63"/>
      <c r="BA35" s="465"/>
    </row>
    <row r="36" spans="25:53" x14ac:dyDescent="0.15">
      <c r="Y36" s="415">
        <f>((MAX(0,Savings!C17-(Savings!L17*(1-$Z$5)))-Savings!O17)*INDEX(Savings!$AK17:$AM17,1,MATCH(CFE_RateCategory,Savings!$AK$1:$AM$1,0)))</f>
        <v>5284.3947112773967</v>
      </c>
      <c r="Z36" s="365">
        <f>IF($Z$5=0,0,(Savings!O17*(INDEX(Savings!$AK17:$AM17,1,MATCH(CFE_RateCategory,Savings!$AK$1:$AM$1,0))-Savings!R17)))</f>
        <v>6011.1138466661869</v>
      </c>
      <c r="AA36" s="366">
        <f t="shared" si="26"/>
        <v>14232.340783008915</v>
      </c>
      <c r="AB36" s="365"/>
      <c r="AC36" s="487"/>
      <c r="AD36" s="63"/>
      <c r="AE36" s="63"/>
      <c r="AF36" s="63"/>
      <c r="AG36" s="63"/>
      <c r="AH36" s="63"/>
      <c r="AI36" s="63"/>
      <c r="AJ36" s="63"/>
      <c r="AK36" s="63"/>
      <c r="AL36" s="63"/>
      <c r="AM36" s="63"/>
      <c r="AN36" s="63"/>
      <c r="AO36" s="63"/>
      <c r="AP36" s="63"/>
      <c r="AQ36" s="63"/>
      <c r="AR36" s="63"/>
      <c r="AS36" s="63"/>
      <c r="AT36" s="63"/>
      <c r="AU36" s="63"/>
      <c r="AV36" s="63"/>
      <c r="AW36" s="63"/>
      <c r="AX36" s="63"/>
      <c r="AY36" s="63"/>
      <c r="AZ36" s="63"/>
      <c r="BA36" s="465"/>
    </row>
    <row r="37" spans="25:53" x14ac:dyDescent="0.15">
      <c r="Y37" s="415">
        <f>((MAX(0,Savings!C18-(Savings!L18*(1-$Z$5)))-Savings!O18)*INDEX(Savings!$AK18:$AM18,1,MATCH(CFE_RateCategory,Savings!$AK$1:$AM$1,0)))</f>
        <v>5667.1962641623268</v>
      </c>
      <c r="Z37" s="365">
        <f>IF($Z$5=0,0,(Savings!O18*(INDEX(Savings!$AK18:$AM18,1,MATCH(CFE_RateCategory,Savings!$AK$1:$AM$1,0))-Savings!R18)))</f>
        <v>6877.928762654552</v>
      </c>
      <c r="AA37" s="366">
        <f t="shared" si="26"/>
        <v>15806.857533789267</v>
      </c>
      <c r="AB37" s="365"/>
      <c r="AC37" s="487"/>
      <c r="AD37" s="63"/>
      <c r="AE37" s="63"/>
      <c r="AF37" s="63"/>
      <c r="AG37" s="63"/>
      <c r="AH37" s="63"/>
      <c r="AI37" s="63"/>
      <c r="AJ37" s="63"/>
      <c r="AK37" s="63"/>
      <c r="AL37" s="63"/>
      <c r="AM37" s="63"/>
      <c r="AN37" s="63"/>
      <c r="AO37" s="63"/>
      <c r="AP37" s="63"/>
      <c r="AQ37" s="63"/>
      <c r="AR37" s="63"/>
      <c r="AS37" s="63"/>
      <c r="AT37" s="63"/>
      <c r="AU37" s="63"/>
      <c r="AV37" s="63"/>
      <c r="AW37" s="63"/>
      <c r="AX37" s="63"/>
      <c r="AY37" s="63"/>
      <c r="AZ37" s="63"/>
      <c r="BA37" s="465"/>
    </row>
    <row r="38" spans="25:53" x14ac:dyDescent="0.15">
      <c r="Y38" s="415">
        <f>((MAX(0,Savings!C19-(Savings!L19*(1-$Z$5)))-Savings!O19)*INDEX(Savings!$AK19:$AM19,1,MATCH(CFE_RateCategory,Savings!$AK$1:$AM$1,0)))</f>
        <v>6077.7279615382495</v>
      </c>
      <c r="Z38" s="365">
        <f>IF($Z$5=0,0,(Savings!O19*(INDEX(Savings!$AK19:$AM19,1,MATCH(CFE_RateCategory,Savings!$AK$1:$AM$1,0))-Savings!R19)))</f>
        <v>7844.7174730706156</v>
      </c>
      <c r="AA38" s="366">
        <f t="shared" si="26"/>
        <v>17542.28124760717</v>
      </c>
      <c r="AB38" s="365"/>
      <c r="AC38" s="487"/>
      <c r="AD38" s="63"/>
      <c r="AE38" s="63"/>
      <c r="AF38" s="63"/>
      <c r="AG38" s="63"/>
      <c r="AH38" s="63"/>
      <c r="AI38" s="63"/>
      <c r="AJ38" s="63"/>
      <c r="AK38" s="63"/>
      <c r="AL38" s="63"/>
      <c r="AM38" s="63"/>
      <c r="AN38" s="63"/>
      <c r="AO38" s="63"/>
      <c r="AP38" s="63"/>
      <c r="AQ38" s="63"/>
      <c r="AR38" s="63"/>
      <c r="AS38" s="63"/>
      <c r="AT38" s="63"/>
      <c r="AU38" s="63"/>
      <c r="AV38" s="63"/>
      <c r="AW38" s="63"/>
      <c r="AX38" s="63"/>
      <c r="AY38" s="63"/>
      <c r="AZ38" s="63"/>
      <c r="BA38" s="465"/>
    </row>
    <row r="39" spans="25:53" x14ac:dyDescent="0.15">
      <c r="Y39" s="416">
        <f>((MAX(0,Savings!C20-(Savings!L20*(1-$Z$5)))-Savings!O20)*INDEX(Savings!$AK20:$AM20,1,MATCH(CFE_RateCategory,Savings!$AK$1:$AM$1,0)))</f>
        <v>6517.9985750720771</v>
      </c>
      <c r="Z39" s="367">
        <f>IF($Z$5=0,0,(Savings!O20*(INDEX(Savings!$AK20:$AM20,1,MATCH(CFE_RateCategory,Savings!$AK$1:$AM$1,0))-Savings!R20)))</f>
        <v>8921.7148564173422</v>
      </c>
      <c r="AA39" s="368">
        <f t="shared" si="26"/>
        <v>19454.038923676668</v>
      </c>
      <c r="AB39" s="365"/>
      <c r="AC39" s="487"/>
      <c r="AD39" s="63"/>
      <c r="AE39" s="63"/>
      <c r="AF39" s="63"/>
      <c r="AG39" s="63"/>
      <c r="AH39" s="63"/>
      <c r="AI39" s="63"/>
      <c r="AJ39" s="63"/>
      <c r="AK39" s="63"/>
      <c r="AL39" s="63"/>
      <c r="AM39" s="63"/>
      <c r="AN39" s="63"/>
      <c r="AO39" s="63"/>
      <c r="AP39" s="63"/>
      <c r="AQ39" s="63"/>
      <c r="AR39" s="63"/>
      <c r="AS39" s="63"/>
      <c r="AT39" s="63"/>
      <c r="AU39" s="63"/>
      <c r="AV39" s="63"/>
      <c r="AW39" s="63"/>
      <c r="AX39" s="63"/>
      <c r="AY39" s="63"/>
      <c r="AZ39" s="63"/>
      <c r="BA39" s="465"/>
    </row>
    <row r="40" spans="25:53" x14ac:dyDescent="0.15">
      <c r="AC40" s="487"/>
      <c r="AD40" s="63"/>
      <c r="AE40" s="63"/>
      <c r="AF40" s="63"/>
      <c r="AG40" s="63"/>
      <c r="AH40" s="63"/>
      <c r="AI40" s="63"/>
      <c r="AJ40" s="63"/>
      <c r="AK40" s="63"/>
      <c r="AL40" s="63"/>
      <c r="AM40" s="63"/>
      <c r="AN40" s="63"/>
      <c r="AO40" s="63"/>
      <c r="AP40" s="63"/>
      <c r="AQ40" s="63"/>
      <c r="AR40" s="63"/>
      <c r="AS40" s="63"/>
      <c r="AT40" s="63"/>
      <c r="AU40" s="63"/>
      <c r="AV40" s="63"/>
      <c r="AW40" s="63"/>
      <c r="AX40" s="63"/>
      <c r="AY40" s="63"/>
      <c r="AZ40" s="63"/>
      <c r="BA40" s="465"/>
    </row>
    <row r="41" spans="25:53" x14ac:dyDescent="0.15">
      <c r="AC41" s="487"/>
      <c r="AD41" s="63"/>
      <c r="AE41" s="63"/>
      <c r="AF41" s="63"/>
      <c r="AG41" s="63"/>
      <c r="AH41" s="63"/>
      <c r="AI41" s="63"/>
      <c r="AJ41" s="63"/>
      <c r="AK41" s="63"/>
      <c r="AL41" s="63"/>
      <c r="AM41" s="63"/>
      <c r="AN41" s="63"/>
      <c r="AO41" s="63"/>
      <c r="AP41" s="63"/>
      <c r="AQ41" s="63"/>
      <c r="AR41" s="63"/>
      <c r="AS41" s="63"/>
      <c r="AT41" s="63"/>
      <c r="AU41" s="63"/>
      <c r="AV41" s="63"/>
      <c r="AW41" s="63"/>
      <c r="AX41" s="63"/>
      <c r="AY41" s="63"/>
      <c r="AZ41" s="63"/>
      <c r="BA41" s="465"/>
    </row>
    <row r="42" spans="25:53" x14ac:dyDescent="0.15">
      <c r="AC42" s="487"/>
      <c r="AD42" s="63"/>
      <c r="AE42" s="63"/>
      <c r="AF42" s="63"/>
      <c r="AG42" s="63"/>
      <c r="AH42" s="63"/>
      <c r="AI42" s="63"/>
      <c r="AJ42" s="63"/>
      <c r="AK42" s="63"/>
      <c r="AL42" s="63"/>
      <c r="AM42" s="63"/>
      <c r="AN42" s="63"/>
      <c r="AO42" s="63"/>
      <c r="AP42" s="63"/>
      <c r="AQ42" s="63"/>
      <c r="AR42" s="63"/>
      <c r="AS42" s="63"/>
      <c r="AT42" s="63"/>
      <c r="AU42" s="63"/>
      <c r="AV42" s="63"/>
      <c r="AW42" s="63"/>
      <c r="AX42" s="63"/>
      <c r="AY42" s="63"/>
      <c r="AZ42" s="63"/>
      <c r="BA42" s="465"/>
    </row>
    <row r="43" spans="25:53" x14ac:dyDescent="0.15">
      <c r="Z43" s="496"/>
      <c r="AC43" s="464"/>
      <c r="AD43" s="63"/>
      <c r="AE43" s="63"/>
      <c r="AF43" s="63"/>
      <c r="AG43" s="63"/>
      <c r="AH43" s="63"/>
      <c r="AI43" s="63"/>
      <c r="AJ43" s="63"/>
      <c r="AK43" s="63"/>
      <c r="AL43" s="63"/>
      <c r="AM43" s="63"/>
      <c r="AN43" s="63"/>
      <c r="AO43" s="63"/>
      <c r="AP43" s="63"/>
      <c r="AQ43" s="63"/>
      <c r="AR43" s="63"/>
      <c r="AS43" s="63"/>
      <c r="AT43" s="63"/>
      <c r="AU43" s="63"/>
      <c r="AV43" s="63"/>
      <c r="AW43" s="63"/>
      <c r="AX43" s="63"/>
      <c r="AY43" s="63"/>
      <c r="AZ43" s="63"/>
      <c r="BA43" s="465"/>
    </row>
    <row r="44" spans="25:53" x14ac:dyDescent="0.15">
      <c r="AC44" s="464"/>
      <c r="AD44" s="63"/>
      <c r="AE44" s="63"/>
      <c r="AF44" s="63"/>
      <c r="AG44" s="63"/>
      <c r="AH44" s="63"/>
      <c r="AI44" s="63"/>
      <c r="AJ44" s="63"/>
      <c r="AK44" s="63"/>
      <c r="AL44" s="63"/>
      <c r="AM44" s="63"/>
      <c r="AN44" s="63"/>
      <c r="AO44" s="63"/>
      <c r="AP44" s="63"/>
      <c r="AQ44" s="63"/>
      <c r="AR44" s="63"/>
      <c r="AS44" s="63"/>
      <c r="AT44" s="63"/>
      <c r="AU44" s="63"/>
      <c r="AV44" s="63"/>
      <c r="AW44" s="63"/>
      <c r="AX44" s="63"/>
      <c r="AY44" s="63"/>
      <c r="AZ44" s="63"/>
      <c r="BA44" s="465"/>
    </row>
    <row r="45" spans="25:53" x14ac:dyDescent="0.15">
      <c r="AC45" s="464"/>
      <c r="AD45" s="63"/>
      <c r="AE45" s="63"/>
      <c r="AF45" s="63"/>
      <c r="AG45" s="63"/>
      <c r="AH45" s="63"/>
      <c r="AI45" s="63"/>
      <c r="AJ45" s="63"/>
      <c r="AK45" s="63"/>
      <c r="AL45" s="63"/>
      <c r="AM45" s="63"/>
      <c r="AN45" s="63"/>
      <c r="AO45" s="63"/>
      <c r="AP45" s="63"/>
      <c r="AQ45" s="63"/>
      <c r="AR45" s="63"/>
      <c r="AS45" s="63"/>
      <c r="AT45" s="63"/>
      <c r="AU45" s="63"/>
      <c r="AV45" s="63"/>
      <c r="AW45" s="63"/>
      <c r="AX45" s="63"/>
      <c r="AY45" s="63"/>
      <c r="AZ45" s="63"/>
      <c r="BA45" s="465"/>
    </row>
    <row r="46" spans="25:53" ht="11.25" thickBot="1" x14ac:dyDescent="0.2">
      <c r="AC46" s="474"/>
      <c r="AD46" s="475"/>
      <c r="AE46" s="475"/>
      <c r="AF46" s="475"/>
      <c r="AG46" s="475"/>
      <c r="AH46" s="475"/>
      <c r="AI46" s="475"/>
      <c r="AJ46" s="475"/>
      <c r="AK46" s="475"/>
      <c r="AL46" s="475"/>
      <c r="AM46" s="475"/>
      <c r="AN46" s="475"/>
      <c r="AO46" s="475"/>
      <c r="AP46" s="475"/>
      <c r="AQ46" s="475"/>
      <c r="AR46" s="475"/>
      <c r="AS46" s="475"/>
      <c r="AT46" s="475"/>
      <c r="AU46" s="475"/>
      <c r="AV46" s="475"/>
      <c r="AW46" s="475"/>
      <c r="AX46" s="475"/>
      <c r="AY46" s="475"/>
      <c r="AZ46" s="475"/>
      <c r="BA46" s="476"/>
    </row>
    <row r="47" spans="25:53" ht="11.25" thickTop="1" x14ac:dyDescent="0.15"/>
  </sheetData>
  <mergeCells count="9">
    <mergeCell ref="Y23:AA23"/>
    <mergeCell ref="AN2:AR2"/>
    <mergeCell ref="AS2:AZ2"/>
    <mergeCell ref="R2:V2"/>
    <mergeCell ref="A1:H1"/>
    <mergeCell ref="AC1:BA1"/>
    <mergeCell ref="J1:W1"/>
    <mergeCell ref="M2:Q2"/>
    <mergeCell ref="C2:G2"/>
  </mergeCells>
  <pageMargins left="0.7" right="0.7" top="0.75" bottom="0.75" header="0.3" footer="0.3"/>
  <pageSetup orientation="landscape"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GA90"/>
  <sheetViews>
    <sheetView zoomScaleNormal="100" zoomScalePageLayoutView="150" workbookViewId="0">
      <pane xSplit="1" topLeftCell="B1" activePane="topRight" state="frozen"/>
      <selection pane="topRight" activeCell="B1" sqref="B1"/>
    </sheetView>
  </sheetViews>
  <sheetFormatPr defaultColWidth="12.42578125" defaultRowHeight="10.5" x14ac:dyDescent="0.15"/>
  <cols>
    <col min="1" max="1" width="43" style="55" bestFit="1" customWidth="1"/>
    <col min="2" max="2" width="4.7109375" style="55" customWidth="1"/>
    <col min="3" max="3" width="13.28515625" style="55" bestFit="1" customWidth="1"/>
    <col min="4" max="4" width="13.42578125" style="55" customWidth="1"/>
    <col min="5" max="183" width="10.7109375" style="55" customWidth="1"/>
    <col min="184" max="16384" width="12.42578125" style="55"/>
  </cols>
  <sheetData>
    <row r="1" spans="1:29" x14ac:dyDescent="0.15">
      <c r="A1" s="253" t="s">
        <v>288</v>
      </c>
      <c r="C1" s="208" t="s">
        <v>289</v>
      </c>
      <c r="D1" s="208" t="s">
        <v>290</v>
      </c>
      <c r="F1" s="30"/>
      <c r="S1" s="57"/>
      <c r="T1" s="57"/>
      <c r="U1" s="57"/>
      <c r="V1" s="57"/>
      <c r="W1" s="57"/>
      <c r="X1" s="57"/>
      <c r="Y1" s="57"/>
      <c r="Z1" s="57"/>
      <c r="AA1" s="57"/>
      <c r="AB1" s="57"/>
      <c r="AC1" s="57"/>
    </row>
    <row r="2" spans="1:29" x14ac:dyDescent="0.15">
      <c r="A2" s="55" t="s">
        <v>473</v>
      </c>
      <c r="C2" s="254">
        <f>Unit_Internal!E54</f>
        <v>130617.06070399999</v>
      </c>
      <c r="D2" s="254">
        <f>Unit_Internal!E51</f>
        <v>112600.91439999999</v>
      </c>
      <c r="E2" s="30"/>
      <c r="F2" s="254"/>
      <c r="G2" s="30"/>
      <c r="H2" s="30"/>
      <c r="I2" s="30"/>
      <c r="J2" s="30"/>
      <c r="K2" s="30"/>
      <c r="L2" s="30"/>
      <c r="M2" s="30"/>
      <c r="N2" s="30"/>
      <c r="O2" s="30"/>
      <c r="P2" s="30"/>
      <c r="Q2" s="30"/>
      <c r="S2" s="57"/>
      <c r="T2" s="57"/>
      <c r="U2" s="57"/>
      <c r="V2" s="57"/>
      <c r="W2" s="57"/>
      <c r="X2" s="57"/>
      <c r="Y2" s="57"/>
      <c r="Z2" s="57"/>
      <c r="AA2" s="57"/>
      <c r="AB2" s="57"/>
      <c r="AC2" s="57"/>
    </row>
    <row r="3" spans="1:29" x14ac:dyDescent="0.15">
      <c r="A3" s="55" t="s">
        <v>291</v>
      </c>
      <c r="C3" s="254">
        <f>-SUM(Unit_Internal!E46:E47)</f>
        <v>-100474.66207999998</v>
      </c>
      <c r="D3" s="254">
        <f>-Unit_Internal!E46</f>
        <v>-86616.087999999989</v>
      </c>
      <c r="E3" s="30"/>
      <c r="F3" s="30"/>
      <c r="G3" s="30"/>
      <c r="H3" s="30"/>
      <c r="I3" s="30"/>
      <c r="J3" s="30"/>
      <c r="K3" s="30"/>
      <c r="L3" s="30"/>
      <c r="M3" s="30"/>
      <c r="N3" s="30"/>
      <c r="O3" s="30"/>
      <c r="P3" s="30"/>
      <c r="Q3" s="30"/>
      <c r="S3" s="57"/>
      <c r="T3" s="57"/>
      <c r="U3" s="57"/>
      <c r="V3" s="57"/>
      <c r="W3" s="57"/>
      <c r="X3" s="57"/>
      <c r="Y3" s="57"/>
      <c r="Z3" s="57"/>
      <c r="AA3" s="57"/>
      <c r="AB3" s="57"/>
      <c r="AC3" s="57"/>
    </row>
    <row r="4" spans="1:29" x14ac:dyDescent="0.15">
      <c r="A4" s="55" t="s">
        <v>292</v>
      </c>
      <c r="C4" s="254">
        <f>SUM(C2:C3)</f>
        <v>30142.398624000009</v>
      </c>
      <c r="D4" s="254">
        <f>SUM(D2:D3)</f>
        <v>25984.826400000005</v>
      </c>
      <c r="E4" s="30"/>
      <c r="F4" s="254"/>
      <c r="G4" s="30"/>
      <c r="H4" s="30"/>
      <c r="I4" s="30"/>
      <c r="J4" s="30"/>
      <c r="K4" s="30"/>
      <c r="L4" s="30"/>
      <c r="M4" s="30"/>
      <c r="N4" s="30"/>
      <c r="O4" s="30"/>
      <c r="P4" s="30"/>
      <c r="Q4" s="30"/>
      <c r="S4" s="57"/>
      <c r="T4" s="57"/>
      <c r="U4" s="57"/>
      <c r="V4" s="57"/>
      <c r="W4" s="57"/>
      <c r="X4" s="57"/>
      <c r="Y4" s="57"/>
      <c r="Z4" s="57"/>
      <c r="AA4" s="57"/>
      <c r="AB4" s="57"/>
      <c r="AC4" s="57"/>
    </row>
    <row r="5" spans="1:29" x14ac:dyDescent="0.15">
      <c r="A5" s="55" t="s">
        <v>293</v>
      </c>
      <c r="C5" s="255">
        <f>IFERROR(C4/C2,"NaN")</f>
        <v>0.23076923076923087</v>
      </c>
      <c r="D5" s="255">
        <f>IFERROR(D4/D2,"NaN")</f>
        <v>0.23076923076923084</v>
      </c>
      <c r="E5" s="30"/>
      <c r="F5" s="30"/>
      <c r="G5" s="30"/>
      <c r="H5" s="30"/>
      <c r="I5" s="30"/>
      <c r="J5" s="30"/>
      <c r="K5" s="30"/>
      <c r="L5" s="30"/>
      <c r="M5" s="30"/>
      <c r="N5" s="30"/>
      <c r="O5" s="30"/>
      <c r="P5" s="30"/>
      <c r="Q5" s="30"/>
      <c r="S5" s="57"/>
      <c r="T5" s="57"/>
      <c r="U5" s="57"/>
      <c r="V5" s="57"/>
      <c r="W5" s="57"/>
      <c r="X5" s="57"/>
      <c r="Y5" s="57"/>
      <c r="Z5" s="57"/>
      <c r="AA5" s="57"/>
      <c r="AB5" s="57"/>
      <c r="AC5" s="57"/>
    </row>
    <row r="6" spans="1:29" x14ac:dyDescent="0.15">
      <c r="A6" s="55" t="s">
        <v>474</v>
      </c>
      <c r="C6" s="254">
        <f>-$C$13</f>
        <v>0</v>
      </c>
      <c r="D6" s="254">
        <f>-$C$13/(1+IVA)</f>
        <v>0</v>
      </c>
      <c r="E6" s="30"/>
      <c r="F6" s="30"/>
      <c r="G6" s="30"/>
      <c r="H6" s="30"/>
      <c r="I6" s="30"/>
      <c r="J6" s="30"/>
      <c r="K6" s="30"/>
      <c r="L6" s="30"/>
      <c r="M6" s="30"/>
      <c r="N6" s="30"/>
      <c r="O6" s="30"/>
      <c r="P6" s="30"/>
      <c r="Q6" s="30"/>
      <c r="S6" s="57"/>
      <c r="T6" s="57"/>
      <c r="U6" s="57"/>
      <c r="V6" s="57"/>
      <c r="W6" s="57"/>
      <c r="X6" s="57"/>
      <c r="Y6" s="57"/>
      <c r="Z6" s="57"/>
      <c r="AA6" s="57"/>
      <c r="AB6" s="57"/>
      <c r="AC6" s="57"/>
    </row>
    <row r="7" spans="1:29" x14ac:dyDescent="0.15">
      <c r="A7" s="55" t="s">
        <v>475</v>
      </c>
      <c r="C7" s="254">
        <f>$C$26</f>
        <v>0</v>
      </c>
      <c r="D7" s="254">
        <f>$C$26</f>
        <v>0</v>
      </c>
      <c r="E7" s="30"/>
      <c r="F7" s="30"/>
      <c r="G7" s="30"/>
      <c r="H7" s="30"/>
      <c r="I7" s="30"/>
      <c r="J7" s="30"/>
      <c r="K7" s="30"/>
      <c r="L7" s="30"/>
      <c r="M7" s="30"/>
      <c r="N7" s="30"/>
      <c r="O7" s="30"/>
      <c r="P7" s="30"/>
      <c r="Q7" s="30"/>
      <c r="S7" s="57"/>
      <c r="T7" s="57"/>
      <c r="U7" s="57"/>
      <c r="V7" s="57"/>
      <c r="W7" s="57"/>
      <c r="X7" s="57"/>
      <c r="Y7" s="57"/>
      <c r="Z7" s="57"/>
      <c r="AA7" s="57"/>
      <c r="AB7" s="57"/>
      <c r="AC7" s="57"/>
    </row>
    <row r="8" spans="1:29" x14ac:dyDescent="0.15">
      <c r="A8" s="55" t="s">
        <v>476</v>
      </c>
      <c r="C8" s="254">
        <f>C4+C6+C7</f>
        <v>30142.398624000009</v>
      </c>
      <c r="D8" s="254">
        <f>D4+D6+D7</f>
        <v>25984.826400000005</v>
      </c>
      <c r="E8" s="30"/>
      <c r="F8" s="30"/>
      <c r="G8" s="30"/>
      <c r="H8" s="30"/>
      <c r="I8" s="30"/>
      <c r="J8" s="30"/>
      <c r="K8" s="30"/>
      <c r="L8" s="30"/>
      <c r="M8" s="30"/>
      <c r="N8" s="30"/>
      <c r="O8" s="30"/>
      <c r="P8" s="30"/>
      <c r="Q8" s="30"/>
      <c r="S8" s="57"/>
      <c r="T8" s="57"/>
      <c r="U8" s="57"/>
      <c r="V8" s="57"/>
      <c r="W8" s="57"/>
      <c r="X8" s="57"/>
      <c r="Y8" s="57"/>
      <c r="Z8" s="57"/>
      <c r="AA8" s="57"/>
      <c r="AB8" s="57"/>
      <c r="AC8" s="57"/>
    </row>
    <row r="9" spans="1:29" x14ac:dyDescent="0.15">
      <c r="A9" s="55" t="s">
        <v>293</v>
      </c>
      <c r="C9" s="255">
        <f>IFERROR(C8/C2,"NaN")</f>
        <v>0.23076923076923087</v>
      </c>
      <c r="D9" s="255">
        <f>IFERROR(D8/D2,"NaN")</f>
        <v>0.23076923076923084</v>
      </c>
      <c r="E9" s="30"/>
      <c r="F9" s="30"/>
      <c r="G9" s="30"/>
      <c r="H9" s="30"/>
      <c r="I9" s="30"/>
      <c r="J9" s="30"/>
      <c r="K9" s="30"/>
      <c r="L9" s="30"/>
      <c r="M9" s="30"/>
      <c r="N9" s="30"/>
      <c r="O9" s="30"/>
      <c r="P9" s="30"/>
      <c r="Q9" s="30"/>
      <c r="S9" s="57"/>
      <c r="T9" s="57"/>
      <c r="U9" s="57"/>
      <c r="V9" s="57"/>
      <c r="W9" s="57"/>
      <c r="X9" s="57"/>
      <c r="Y9" s="57"/>
      <c r="Z9" s="57"/>
      <c r="AA9" s="57"/>
      <c r="AB9" s="57"/>
      <c r="AC9" s="57"/>
    </row>
    <row r="10" spans="1:29" x14ac:dyDescent="0.15">
      <c r="C10" s="254"/>
      <c r="D10" s="30"/>
      <c r="E10" s="30"/>
      <c r="F10" s="30"/>
      <c r="G10" s="30"/>
      <c r="H10" s="30"/>
      <c r="I10" s="30"/>
      <c r="J10" s="30"/>
      <c r="K10" s="30"/>
      <c r="L10" s="30"/>
      <c r="M10" s="30"/>
      <c r="N10" s="30"/>
      <c r="O10" s="30"/>
      <c r="P10" s="30"/>
      <c r="Q10" s="30"/>
      <c r="S10" s="57"/>
      <c r="T10" s="57"/>
      <c r="U10" s="57"/>
      <c r="V10" s="57"/>
      <c r="W10" s="57"/>
      <c r="X10" s="57"/>
      <c r="Y10" s="57"/>
      <c r="Z10" s="57"/>
      <c r="AA10" s="57"/>
      <c r="AB10" s="57"/>
      <c r="AC10" s="57"/>
    </row>
    <row r="11" spans="1:29" x14ac:dyDescent="0.15">
      <c r="A11" s="55" t="s">
        <v>815</v>
      </c>
      <c r="C11" s="317">
        <f>C$2*EqInv_Pct</f>
        <v>130617.06070399999</v>
      </c>
      <c r="D11" s="255">
        <f>(C11-C24)/$C$2</f>
        <v>1</v>
      </c>
      <c r="E11" s="30"/>
      <c r="F11" s="30"/>
      <c r="G11" s="30"/>
      <c r="H11" s="30"/>
      <c r="I11" s="30"/>
      <c r="J11" s="30"/>
      <c r="K11" s="30"/>
      <c r="L11" s="30"/>
      <c r="M11" s="30"/>
      <c r="N11" s="30"/>
      <c r="O11" s="30"/>
      <c r="P11" s="30"/>
      <c r="Q11" s="30"/>
      <c r="S11" s="57"/>
      <c r="T11" s="57"/>
      <c r="U11" s="57"/>
      <c r="V11" s="57"/>
      <c r="W11" s="57"/>
      <c r="X11" s="57"/>
      <c r="Y11" s="57"/>
      <c r="Z11" s="57"/>
      <c r="AA11" s="57"/>
      <c r="AB11" s="57"/>
      <c r="AC11" s="57"/>
    </row>
    <row r="12" spans="1:29" x14ac:dyDescent="0.15">
      <c r="A12" s="55" t="s">
        <v>814</v>
      </c>
      <c r="C12" s="254">
        <f>C$2*DebtInv_Pct</f>
        <v>0</v>
      </c>
      <c r="D12" s="255">
        <f>(C12-C25)/$C$2</f>
        <v>0</v>
      </c>
      <c r="E12" s="30"/>
      <c r="F12" s="30"/>
      <c r="G12" s="30"/>
      <c r="H12" s="30"/>
      <c r="I12" s="30"/>
      <c r="J12" s="30"/>
      <c r="K12" s="30"/>
      <c r="L12" s="30"/>
      <c r="M12" s="30"/>
      <c r="N12" s="30"/>
      <c r="O12" s="30"/>
      <c r="P12" s="30"/>
      <c r="Q12" s="30"/>
      <c r="S12" s="57"/>
      <c r="T12" s="57"/>
      <c r="U12" s="57"/>
      <c r="V12" s="57"/>
      <c r="W12" s="57"/>
      <c r="X12" s="57"/>
      <c r="Y12" s="57"/>
      <c r="Z12" s="57"/>
      <c r="AA12" s="57"/>
      <c r="AB12" s="57"/>
      <c r="AC12" s="57"/>
    </row>
    <row r="13" spans="1:29" x14ac:dyDescent="0.15">
      <c r="A13" s="55" t="s">
        <v>816</v>
      </c>
      <c r="C13" s="254">
        <f>C$2*MySOL_Pct</f>
        <v>0</v>
      </c>
      <c r="D13" s="255">
        <f>(C13-C26)/$C$2</f>
        <v>0</v>
      </c>
      <c r="E13" s="30"/>
      <c r="F13" s="30"/>
      <c r="G13" s="30"/>
      <c r="H13" s="30"/>
      <c r="I13" s="30"/>
      <c r="J13" s="30"/>
      <c r="K13" s="30"/>
      <c r="L13" s="30"/>
      <c r="M13" s="30"/>
      <c r="N13" s="30"/>
      <c r="O13" s="30"/>
      <c r="P13" s="30"/>
      <c r="Q13" s="30"/>
      <c r="S13" s="57"/>
      <c r="T13" s="57"/>
      <c r="U13" s="57"/>
      <c r="V13" s="57"/>
      <c r="W13" s="57"/>
      <c r="X13" s="57"/>
      <c r="Y13" s="57"/>
      <c r="Z13" s="57"/>
      <c r="AA13" s="57"/>
      <c r="AB13" s="57"/>
      <c r="AC13" s="57"/>
    </row>
    <row r="14" spans="1:29" x14ac:dyDescent="0.15">
      <c r="C14" s="254"/>
      <c r="D14" s="30"/>
      <c r="E14" s="30"/>
      <c r="F14" s="30"/>
      <c r="G14" s="30"/>
      <c r="H14" s="30"/>
      <c r="I14" s="30"/>
      <c r="J14" s="30"/>
      <c r="K14" s="30"/>
      <c r="L14" s="30"/>
      <c r="M14" s="30"/>
      <c r="N14" s="30"/>
      <c r="O14" s="30"/>
      <c r="P14" s="30"/>
      <c r="Q14" s="30"/>
      <c r="S14" s="57"/>
      <c r="T14" s="57"/>
      <c r="U14" s="57"/>
      <c r="V14" s="57"/>
      <c r="W14" s="57"/>
      <c r="X14" s="57"/>
      <c r="Y14" s="57"/>
      <c r="Z14" s="57"/>
      <c r="AA14" s="57"/>
      <c r="AB14" s="57"/>
      <c r="AC14" s="57"/>
    </row>
    <row r="15" spans="1:29" x14ac:dyDescent="0.15">
      <c r="A15" s="55" t="s">
        <v>608</v>
      </c>
      <c r="C15" s="254">
        <f>Cust_InitialPymt</f>
        <v>0</v>
      </c>
      <c r="D15" s="30"/>
      <c r="E15" s="30"/>
      <c r="F15" s="30"/>
      <c r="G15" s="30"/>
      <c r="H15" s="30"/>
      <c r="I15" s="30"/>
      <c r="J15" s="30"/>
      <c r="K15" s="30"/>
      <c r="L15" s="30"/>
      <c r="M15" s="30"/>
      <c r="N15" s="30"/>
      <c r="O15" s="30"/>
      <c r="P15" s="30"/>
      <c r="Q15" s="30"/>
      <c r="S15" s="57"/>
      <c r="T15" s="57"/>
      <c r="U15" s="57"/>
      <c r="V15" s="57"/>
      <c r="W15" s="57"/>
      <c r="X15" s="57"/>
      <c r="Y15" s="57"/>
      <c r="Z15" s="57"/>
      <c r="AA15" s="57"/>
      <c r="AB15" s="57"/>
      <c r="AC15" s="57"/>
    </row>
    <row r="16" spans="1:29" x14ac:dyDescent="0.15">
      <c r="A16" s="384" t="s">
        <v>596</v>
      </c>
      <c r="C16" s="254">
        <f>IF(LOWER(InclUpfront_EGauge)="true",MIN(C15, priceEGaugeUSD*MXNperUSD*(1+IVA)),0)</f>
        <v>0</v>
      </c>
      <c r="D16" s="30" t="s">
        <v>819</v>
      </c>
      <c r="E16" s="30"/>
      <c r="F16" s="30"/>
      <c r="G16" s="30"/>
      <c r="H16" s="30"/>
      <c r="I16" s="30"/>
      <c r="J16" s="30"/>
      <c r="K16" s="30"/>
      <c r="L16" s="30"/>
      <c r="M16" s="30"/>
      <c r="N16" s="30"/>
      <c r="O16" s="30"/>
      <c r="P16" s="30"/>
      <c r="Q16" s="30"/>
      <c r="S16" s="57"/>
      <c r="T16" s="57"/>
      <c r="U16" s="57"/>
      <c r="V16" s="57"/>
      <c r="W16" s="57"/>
      <c r="X16" s="57"/>
      <c r="Y16" s="57"/>
      <c r="Z16" s="57"/>
      <c r="AA16" s="57"/>
      <c r="AB16" s="57"/>
      <c r="AC16" s="57"/>
    </row>
    <row r="17" spans="1:29" x14ac:dyDescent="0.15">
      <c r="A17" s="384" t="s">
        <v>603</v>
      </c>
      <c r="C17" s="254">
        <f>priceEGaugeUSD*MXNperUSD*(1+IVA)-C16</f>
        <v>6347.5199999999995</v>
      </c>
      <c r="D17" s="30" t="s">
        <v>602</v>
      </c>
      <c r="E17" s="30"/>
      <c r="F17" s="30"/>
      <c r="G17" s="30"/>
      <c r="H17" s="30"/>
      <c r="I17" s="30"/>
      <c r="J17" s="30"/>
      <c r="K17" s="30"/>
      <c r="L17" s="30"/>
      <c r="M17" s="30"/>
      <c r="N17" s="30"/>
      <c r="O17" s="30"/>
      <c r="P17" s="30"/>
      <c r="Q17" s="30"/>
      <c r="S17" s="57"/>
      <c r="T17" s="57"/>
      <c r="U17" s="57"/>
      <c r="V17" s="57"/>
      <c r="W17" s="57"/>
      <c r="X17" s="57"/>
      <c r="Y17" s="57"/>
      <c r="Z17" s="57"/>
      <c r="AA17" s="57"/>
      <c r="AB17" s="57"/>
      <c r="AC17" s="57"/>
    </row>
    <row r="18" spans="1:29" x14ac:dyDescent="0.15">
      <c r="A18" s="384" t="s">
        <v>595</v>
      </c>
      <c r="C18" s="254">
        <f>C15-C16</f>
        <v>0</v>
      </c>
      <c r="D18" s="30"/>
      <c r="E18" s="30"/>
      <c r="F18" s="30"/>
      <c r="G18" s="30"/>
      <c r="H18" s="30"/>
      <c r="I18" s="30"/>
      <c r="J18" s="30"/>
      <c r="K18" s="30"/>
      <c r="L18" s="30"/>
      <c r="M18" s="30"/>
      <c r="N18" s="30"/>
      <c r="O18" s="30"/>
      <c r="P18" s="30"/>
      <c r="Q18" s="30"/>
      <c r="S18" s="57"/>
      <c r="T18" s="57"/>
      <c r="U18" s="57"/>
      <c r="V18" s="57"/>
      <c r="W18" s="57"/>
      <c r="X18" s="57"/>
      <c r="Y18" s="57"/>
      <c r="Z18" s="57"/>
      <c r="AA18" s="57"/>
      <c r="AB18" s="57"/>
      <c r="AC18" s="57"/>
    </row>
    <row r="19" spans="1:29" x14ac:dyDescent="0.15">
      <c r="A19" s="384" t="s">
        <v>597</v>
      </c>
      <c r="C19" s="254">
        <f>IF(LOWER(InclUpfront_OM)="true",MIN(C18,-SUMIF(D43:R43,"&gt;"&amp;Cust_LeaseTermYears,D40:R40)),0)</f>
        <v>0</v>
      </c>
      <c r="D19" s="30" t="s">
        <v>607</v>
      </c>
      <c r="E19" s="30"/>
      <c r="F19" s="30"/>
      <c r="G19" s="30"/>
      <c r="H19" s="30"/>
      <c r="I19" s="30"/>
      <c r="J19" s="30"/>
      <c r="K19" s="30"/>
      <c r="L19" s="30"/>
      <c r="M19" s="30"/>
      <c r="N19" s="30"/>
      <c r="O19" s="30"/>
      <c r="P19" s="30"/>
      <c r="Q19" s="30"/>
      <c r="S19" s="57"/>
      <c r="T19" s="57"/>
      <c r="U19" s="57"/>
      <c r="V19" s="57"/>
      <c r="W19" s="57"/>
      <c r="X19" s="57"/>
      <c r="Y19" s="57"/>
      <c r="Z19" s="57"/>
      <c r="AA19" s="57"/>
      <c r="AB19" s="57"/>
      <c r="AC19" s="57"/>
    </row>
    <row r="20" spans="1:29" x14ac:dyDescent="0.15">
      <c r="A20" s="384" t="s">
        <v>598</v>
      </c>
      <c r="C20" s="254">
        <f>(-SUMIF(D43:R43,"&gt;"&amp;Cust_LeaseTermYears,D40:R40))-C19</f>
        <v>0</v>
      </c>
      <c r="D20" s="30" t="s">
        <v>606</v>
      </c>
      <c r="E20" s="30"/>
      <c r="F20" s="30"/>
      <c r="G20" s="30"/>
      <c r="H20" s="30"/>
      <c r="I20" s="30"/>
      <c r="J20" s="30"/>
      <c r="K20" s="30"/>
      <c r="L20" s="30"/>
      <c r="M20" s="30"/>
      <c r="N20" s="30"/>
      <c r="O20" s="30"/>
      <c r="P20" s="30"/>
      <c r="Q20" s="30"/>
      <c r="S20" s="57"/>
      <c r="T20" s="57"/>
      <c r="U20" s="57"/>
      <c r="V20" s="57"/>
      <c r="W20" s="57"/>
      <c r="X20" s="57"/>
      <c r="Y20" s="57"/>
      <c r="Z20" s="57"/>
      <c r="AA20" s="57"/>
      <c r="AB20" s="57"/>
      <c r="AC20" s="57"/>
    </row>
    <row r="21" spans="1:29" x14ac:dyDescent="0.15">
      <c r="A21" s="55" t="s">
        <v>609</v>
      </c>
      <c r="C21" s="254">
        <f>C15-C16-C19</f>
        <v>0</v>
      </c>
      <c r="D21" s="30" t="s">
        <v>605</v>
      </c>
      <c r="E21" s="30"/>
      <c r="F21" s="30"/>
      <c r="G21" s="30"/>
      <c r="H21" s="30"/>
      <c r="I21" s="30"/>
      <c r="J21" s="30"/>
      <c r="K21" s="30"/>
      <c r="L21" s="30"/>
      <c r="M21" s="30"/>
      <c r="N21" s="30"/>
      <c r="O21" s="30"/>
      <c r="P21" s="30"/>
      <c r="Q21" s="30"/>
      <c r="S21" s="57"/>
      <c r="T21" s="57"/>
      <c r="U21" s="57"/>
      <c r="V21" s="57"/>
      <c r="W21" s="57"/>
      <c r="X21" s="57"/>
      <c r="Y21" s="57"/>
      <c r="Z21" s="57"/>
      <c r="AA21" s="57"/>
      <c r="AB21" s="57"/>
      <c r="AC21" s="57"/>
    </row>
    <row r="22" spans="1:29" x14ac:dyDescent="0.15">
      <c r="C22" s="254"/>
      <c r="D22" s="30"/>
      <c r="E22" s="30"/>
      <c r="F22" s="30"/>
      <c r="G22" s="30"/>
      <c r="H22" s="30"/>
      <c r="I22" s="30"/>
      <c r="J22" s="30"/>
      <c r="K22" s="30"/>
      <c r="L22" s="30"/>
      <c r="M22" s="30"/>
      <c r="N22" s="30"/>
      <c r="O22" s="30"/>
      <c r="P22" s="30"/>
      <c r="Q22" s="30"/>
      <c r="S22" s="57"/>
      <c r="T22" s="57"/>
      <c r="U22" s="57"/>
      <c r="V22" s="57"/>
      <c r="W22" s="57"/>
      <c r="X22" s="57"/>
      <c r="Y22" s="57"/>
      <c r="Z22" s="57"/>
      <c r="AA22" s="57"/>
      <c r="AB22" s="57"/>
      <c r="AC22" s="57"/>
    </row>
    <row r="23" spans="1:29" x14ac:dyDescent="0.15">
      <c r="C23" s="445" t="s">
        <v>967</v>
      </c>
      <c r="D23" s="335" t="s">
        <v>966</v>
      </c>
      <c r="E23" s="30"/>
      <c r="F23" s="30"/>
      <c r="G23" s="30"/>
      <c r="H23" s="30"/>
      <c r="I23" s="30"/>
      <c r="J23" s="30"/>
      <c r="K23" s="30"/>
      <c r="L23" s="30"/>
      <c r="M23" s="30"/>
      <c r="N23" s="30"/>
      <c r="O23" s="30"/>
      <c r="P23" s="30"/>
      <c r="Q23" s="30"/>
      <c r="S23" s="57"/>
      <c r="T23" s="57"/>
      <c r="U23" s="57"/>
      <c r="V23" s="57"/>
      <c r="W23" s="57"/>
      <c r="X23" s="57"/>
      <c r="Y23" s="57"/>
      <c r="Z23" s="57"/>
      <c r="AA23" s="57"/>
      <c r="AB23" s="57"/>
      <c r="AC23" s="57"/>
    </row>
    <row r="24" spans="1:29" x14ac:dyDescent="0.15">
      <c r="A24" s="55" t="s">
        <v>821</v>
      </c>
      <c r="C24" s="254">
        <f>EqInv_Equity*$C$21</f>
        <v>0</v>
      </c>
      <c r="D24" s="254">
        <f>MIN($C$21,$C$11)</f>
        <v>0</v>
      </c>
      <c r="E24" s="317"/>
      <c r="F24" s="30"/>
      <c r="G24" s="30"/>
      <c r="H24" s="30"/>
      <c r="I24" s="30"/>
      <c r="J24" s="30"/>
      <c r="K24" s="30"/>
      <c r="L24" s="30"/>
      <c r="M24" s="30"/>
      <c r="N24" s="30"/>
      <c r="O24" s="30"/>
      <c r="P24" s="30"/>
      <c r="Q24" s="30"/>
      <c r="S24" s="57"/>
      <c r="T24" s="57"/>
      <c r="U24" s="57"/>
      <c r="V24" s="57"/>
      <c r="W24" s="57"/>
      <c r="X24" s="57"/>
      <c r="Y24" s="57"/>
      <c r="Z24" s="57"/>
      <c r="AA24" s="57"/>
      <c r="AB24" s="57"/>
      <c r="AC24" s="57"/>
    </row>
    <row r="25" spans="1:29" x14ac:dyDescent="0.15">
      <c r="A25" s="55" t="s">
        <v>820</v>
      </c>
      <c r="C25" s="254">
        <v>0</v>
      </c>
      <c r="D25" s="254">
        <f>MIN(($C$21-D24),$C$12)</f>
        <v>0</v>
      </c>
      <c r="E25" s="317"/>
      <c r="F25" s="30"/>
      <c r="G25" s="30"/>
      <c r="H25" s="30"/>
      <c r="I25" s="30"/>
      <c r="J25" s="30"/>
      <c r="K25" s="30"/>
      <c r="L25" s="30"/>
      <c r="M25" s="30"/>
      <c r="N25" s="30"/>
      <c r="O25" s="30"/>
      <c r="P25" s="30"/>
      <c r="Q25" s="30"/>
      <c r="S25" s="57"/>
      <c r="T25" s="57"/>
      <c r="U25" s="57"/>
      <c r="V25" s="57"/>
      <c r="W25" s="57"/>
      <c r="X25" s="57"/>
      <c r="Y25" s="57"/>
      <c r="Z25" s="57"/>
      <c r="AA25" s="57"/>
      <c r="AB25" s="57"/>
      <c r="AC25" s="57"/>
    </row>
    <row r="26" spans="1:29" x14ac:dyDescent="0.15">
      <c r="A26" s="55" t="s">
        <v>822</v>
      </c>
      <c r="C26" s="254">
        <f>MySOL_Equity*$C$21</f>
        <v>0</v>
      </c>
      <c r="D26" s="254">
        <f>MIN(($C$21-D24-D25),$C$13)</f>
        <v>0</v>
      </c>
      <c r="E26" s="317"/>
      <c r="F26" s="30"/>
      <c r="G26" s="30"/>
      <c r="H26" s="30"/>
      <c r="I26" s="30"/>
      <c r="J26" s="30"/>
      <c r="K26" s="30"/>
      <c r="L26" s="30"/>
      <c r="M26" s="30"/>
      <c r="N26" s="30"/>
      <c r="O26" s="30"/>
      <c r="P26" s="30"/>
      <c r="Q26" s="30"/>
      <c r="S26" s="57"/>
      <c r="T26" s="57"/>
      <c r="U26" s="57"/>
      <c r="V26" s="57"/>
      <c r="W26" s="57"/>
      <c r="X26" s="57"/>
      <c r="Y26" s="57"/>
      <c r="Z26" s="57"/>
      <c r="AA26" s="57"/>
      <c r="AB26" s="57"/>
      <c r="AC26" s="57"/>
    </row>
    <row r="27" spans="1:29" x14ac:dyDescent="0.15">
      <c r="C27" s="254"/>
      <c r="D27" s="254"/>
      <c r="E27" s="30"/>
      <c r="F27" s="30"/>
      <c r="G27" s="30"/>
      <c r="H27" s="30"/>
      <c r="I27" s="30"/>
      <c r="J27" s="30"/>
      <c r="K27" s="30"/>
      <c r="L27" s="30"/>
      <c r="M27" s="30"/>
      <c r="N27" s="30"/>
      <c r="O27" s="30"/>
      <c r="P27" s="30"/>
      <c r="Q27" s="30"/>
      <c r="S27" s="57"/>
      <c r="T27" s="57"/>
      <c r="U27" s="57"/>
      <c r="V27" s="57"/>
      <c r="W27" s="57"/>
      <c r="X27" s="57"/>
      <c r="Y27" s="57"/>
      <c r="Z27" s="57"/>
      <c r="AA27" s="57"/>
      <c r="AB27" s="57"/>
      <c r="AC27" s="57"/>
    </row>
    <row r="28" spans="1:29" x14ac:dyDescent="0.15">
      <c r="A28" s="55" t="s">
        <v>827</v>
      </c>
      <c r="C28" s="254">
        <f>$C$2-$C$21</f>
        <v>130617.06070399999</v>
      </c>
      <c r="D28" s="254">
        <f>$C$2-$C$21</f>
        <v>130617.06070399999</v>
      </c>
      <c r="E28" s="30"/>
      <c r="F28" s="30"/>
      <c r="G28" s="30"/>
      <c r="H28" s="30"/>
      <c r="I28" s="30"/>
      <c r="J28" s="30"/>
      <c r="K28" s="30"/>
      <c r="L28" s="30"/>
      <c r="M28" s="30"/>
      <c r="N28" s="30"/>
      <c r="O28" s="30"/>
      <c r="P28" s="30"/>
      <c r="Q28" s="30"/>
      <c r="S28" s="57"/>
      <c r="T28" s="57"/>
      <c r="U28" s="57"/>
      <c r="V28" s="57"/>
      <c r="W28" s="57"/>
      <c r="X28" s="57"/>
      <c r="Y28" s="57"/>
      <c r="Z28" s="57"/>
      <c r="AA28" s="57"/>
      <c r="AB28" s="57"/>
      <c r="AC28" s="57"/>
    </row>
    <row r="29" spans="1:29" x14ac:dyDescent="0.15">
      <c r="A29" s="55" t="s">
        <v>824</v>
      </c>
      <c r="C29" s="255">
        <f>($C$11-C24)/C$28</f>
        <v>1</v>
      </c>
      <c r="D29" s="255">
        <f>($C$11-D24)/C$28</f>
        <v>1</v>
      </c>
      <c r="E29" s="419"/>
      <c r="F29" s="419"/>
      <c r="G29" s="30"/>
      <c r="H29" s="30"/>
      <c r="I29" s="30"/>
      <c r="J29" s="30"/>
      <c r="K29" s="30"/>
      <c r="L29" s="30"/>
      <c r="M29" s="30"/>
      <c r="N29" s="30"/>
      <c r="O29" s="30"/>
      <c r="P29" s="30"/>
      <c r="Q29" s="30"/>
      <c r="S29" s="57"/>
      <c r="T29" s="57"/>
      <c r="U29" s="57"/>
      <c r="V29" s="57"/>
      <c r="W29" s="57"/>
      <c r="X29" s="57"/>
      <c r="Y29" s="57"/>
      <c r="Z29" s="57"/>
      <c r="AA29" s="57"/>
      <c r="AB29" s="57"/>
      <c r="AC29" s="57"/>
    </row>
    <row r="30" spans="1:29" x14ac:dyDescent="0.15">
      <c r="A30" s="55" t="s">
        <v>825</v>
      </c>
      <c r="C30" s="255">
        <f>($C$12-C25)/C$28</f>
        <v>0</v>
      </c>
      <c r="D30" s="255">
        <f>($C$12-D25)/C$28</f>
        <v>0</v>
      </c>
      <c r="E30" s="30"/>
      <c r="F30" s="419"/>
      <c r="G30" s="30"/>
      <c r="H30" s="30"/>
      <c r="I30" s="30"/>
      <c r="J30" s="30"/>
      <c r="K30" s="30"/>
      <c r="L30" s="30"/>
      <c r="M30" s="30"/>
      <c r="N30" s="30"/>
      <c r="O30" s="30"/>
      <c r="P30" s="30"/>
      <c r="Q30" s="30"/>
      <c r="S30" s="57"/>
      <c r="T30" s="57"/>
      <c r="U30" s="57"/>
      <c r="V30" s="57"/>
      <c r="W30" s="57"/>
      <c r="X30" s="57"/>
      <c r="Y30" s="57"/>
      <c r="Z30" s="57"/>
      <c r="AA30" s="57"/>
      <c r="AB30" s="57"/>
      <c r="AC30" s="57"/>
    </row>
    <row r="31" spans="1:29" x14ac:dyDescent="0.15">
      <c r="A31" s="55" t="s">
        <v>826</v>
      </c>
      <c r="C31" s="255">
        <f>($C$13-C26)/C$28</f>
        <v>0</v>
      </c>
      <c r="D31" s="255">
        <f>($C$13-D26)/C$28</f>
        <v>0</v>
      </c>
      <c r="E31" s="30"/>
      <c r="F31" s="419"/>
      <c r="G31" s="30"/>
      <c r="H31" s="30"/>
      <c r="I31" s="553"/>
      <c r="J31" s="30"/>
      <c r="K31" s="30"/>
      <c r="L31" s="30"/>
      <c r="M31" s="30"/>
      <c r="N31" s="30"/>
      <c r="O31" s="30"/>
      <c r="P31" s="30"/>
      <c r="Q31" s="30"/>
      <c r="R31" s="554"/>
      <c r="S31" s="57"/>
      <c r="T31" s="57"/>
      <c r="U31" s="57"/>
      <c r="V31" s="57"/>
      <c r="W31" s="57"/>
      <c r="X31" s="57"/>
      <c r="Y31" s="57"/>
      <c r="Z31" s="57"/>
      <c r="AA31" s="57"/>
      <c r="AB31" s="57"/>
      <c r="AC31" s="57"/>
    </row>
    <row r="32" spans="1:29" x14ac:dyDescent="0.15">
      <c r="C32" s="254"/>
      <c r="D32" s="254"/>
      <c r="E32" s="30"/>
      <c r="F32" s="30"/>
      <c r="G32" s="30"/>
      <c r="H32" s="30"/>
      <c r="I32" s="553"/>
      <c r="J32" s="30"/>
      <c r="K32" s="30"/>
      <c r="L32" s="30"/>
      <c r="M32" s="30"/>
      <c r="N32" s="30"/>
      <c r="O32" s="30"/>
      <c r="P32" s="30"/>
      <c r="Q32" s="30"/>
      <c r="R32" s="554"/>
      <c r="S32" s="57"/>
      <c r="T32" s="57"/>
      <c r="U32" s="57"/>
      <c r="V32" s="57"/>
      <c r="W32" s="57"/>
      <c r="X32" s="57"/>
      <c r="Y32" s="57"/>
      <c r="Z32" s="57"/>
      <c r="AA32" s="57"/>
      <c r="AB32" s="57"/>
      <c r="AC32" s="57"/>
    </row>
    <row r="33" spans="1:68" x14ac:dyDescent="0.15">
      <c r="A33" s="256" t="s">
        <v>294</v>
      </c>
      <c r="C33" s="254">
        <f>(C29/(EqInv_PctCashFlow+MySOL_PctCashFlow))*$C$2*-1</f>
        <v>-130617.06070399999</v>
      </c>
      <c r="D33" s="254">
        <f>(D29/(EqInv_PctCashFlow+MySOL_PctCashFlow))*$C$2*-1</f>
        <v>-130617.06070399999</v>
      </c>
      <c r="E33" s="30"/>
      <c r="F33" s="30"/>
      <c r="G33" s="30"/>
      <c r="H33" s="30"/>
      <c r="I33" s="30"/>
      <c r="J33" s="30"/>
      <c r="K33" s="30"/>
      <c r="L33" s="30"/>
      <c r="M33" s="30"/>
      <c r="N33" s="30"/>
      <c r="O33" s="30"/>
      <c r="P33" s="30"/>
      <c r="Q33" s="30"/>
      <c r="S33" s="57"/>
      <c r="T33" s="57"/>
      <c r="U33" s="57"/>
      <c r="V33" s="57"/>
      <c r="W33" s="57"/>
      <c r="X33" s="57"/>
      <c r="Y33" s="57"/>
      <c r="Z33" s="57"/>
      <c r="AA33" s="57"/>
      <c r="AB33" s="57"/>
      <c r="AC33" s="57"/>
    </row>
    <row r="34" spans="1:68" x14ac:dyDescent="0.15">
      <c r="A34" s="256" t="s">
        <v>477</v>
      </c>
      <c r="C34" s="254">
        <f>(C31/(EqInv_PctCashFlow+MySOL_PctCashFlow))*$C$2*-1</f>
        <v>0</v>
      </c>
      <c r="D34" s="254">
        <f>(D31/(EqInv_PctCashFlow+MySOL_PctCashFlow))*$C$2*-1</f>
        <v>0</v>
      </c>
      <c r="E34" s="254"/>
      <c r="F34" s="254"/>
      <c r="G34" s="254"/>
      <c r="H34" s="254"/>
      <c r="I34" s="254"/>
      <c r="J34" s="254"/>
      <c r="K34" s="254"/>
      <c r="L34" s="254"/>
      <c r="M34" s="254"/>
      <c r="N34" s="254"/>
      <c r="O34" s="254"/>
      <c r="P34" s="254"/>
      <c r="Q34" s="254"/>
      <c r="S34" s="57"/>
      <c r="T34" s="57"/>
      <c r="U34" s="57"/>
      <c r="V34" s="57"/>
      <c r="W34" s="57"/>
      <c r="X34" s="57"/>
      <c r="Y34" s="57"/>
      <c r="Z34" s="57"/>
      <c r="AA34" s="57"/>
      <c r="AB34" s="57"/>
      <c r="AC34" s="57"/>
      <c r="AH34" s="257"/>
      <c r="AI34" s="257"/>
      <c r="AJ34" s="257"/>
      <c r="AK34" s="257"/>
      <c r="AL34" s="257"/>
      <c r="AM34" s="257"/>
      <c r="AN34" s="257"/>
      <c r="AO34" s="257"/>
      <c r="AP34" s="257"/>
      <c r="AQ34" s="257"/>
      <c r="AR34" s="257"/>
      <c r="AS34" s="257"/>
      <c r="AT34" s="257"/>
      <c r="AU34" s="257"/>
      <c r="AV34" s="257"/>
      <c r="AW34" s="257"/>
      <c r="AX34" s="257"/>
      <c r="AY34" s="257"/>
      <c r="AZ34" s="257"/>
      <c r="BA34" s="257"/>
      <c r="BB34" s="257"/>
      <c r="BC34" s="257"/>
      <c r="BD34" s="257"/>
      <c r="BE34" s="257"/>
      <c r="BF34" s="257"/>
      <c r="BG34" s="257"/>
      <c r="BH34" s="257"/>
      <c r="BI34" s="257"/>
      <c r="BJ34" s="257"/>
    </row>
    <row r="35" spans="1:68" x14ac:dyDescent="0.15">
      <c r="A35" s="30"/>
      <c r="C35" s="258"/>
      <c r="D35" s="254"/>
      <c r="E35" s="254"/>
      <c r="F35" s="254"/>
      <c r="G35" s="254"/>
      <c r="H35" s="254"/>
      <c r="I35" s="254"/>
      <c r="J35" s="254"/>
      <c r="K35" s="254"/>
      <c r="L35" s="254"/>
      <c r="M35" s="254"/>
      <c r="N35" s="254"/>
      <c r="O35" s="254"/>
      <c r="P35" s="254"/>
      <c r="Q35" s="254"/>
      <c r="S35" s="57"/>
      <c r="T35" s="57"/>
      <c r="U35" s="57"/>
      <c r="V35" s="57"/>
      <c r="W35" s="57"/>
      <c r="X35" s="57"/>
      <c r="Y35" s="57"/>
      <c r="Z35" s="57"/>
      <c r="AA35" s="57"/>
      <c r="AB35" s="57"/>
      <c r="AC35" s="57"/>
      <c r="AH35" s="257"/>
      <c r="AI35" s="257"/>
      <c r="AJ35" s="257"/>
      <c r="AK35" s="257"/>
      <c r="AL35" s="257"/>
      <c r="AM35" s="257"/>
      <c r="AN35" s="257"/>
      <c r="AO35" s="257"/>
      <c r="AP35" s="257"/>
      <c r="AQ35" s="257"/>
      <c r="AR35" s="257"/>
      <c r="AS35" s="257"/>
      <c r="AT35" s="257"/>
      <c r="AU35" s="257"/>
      <c r="AV35" s="257"/>
      <c r="AW35" s="257"/>
      <c r="AX35" s="257"/>
      <c r="AY35" s="257"/>
      <c r="AZ35" s="257"/>
      <c r="BA35" s="257"/>
      <c r="BB35" s="257"/>
      <c r="BC35" s="257"/>
      <c r="BD35" s="257"/>
      <c r="BE35" s="257"/>
      <c r="BF35" s="257"/>
      <c r="BG35" s="257"/>
      <c r="BH35" s="257"/>
      <c r="BI35" s="257"/>
      <c r="BJ35" s="257"/>
    </row>
    <row r="36" spans="1:68" x14ac:dyDescent="0.15">
      <c r="A36" s="259" t="s">
        <v>18</v>
      </c>
      <c r="C36" s="260">
        <v>0</v>
      </c>
      <c r="D36" s="261">
        <v>1</v>
      </c>
      <c r="E36" s="261">
        <v>2</v>
      </c>
      <c r="F36" s="261">
        <v>3</v>
      </c>
      <c r="G36" s="261">
        <v>4</v>
      </c>
      <c r="H36" s="261">
        <v>5</v>
      </c>
      <c r="I36" s="261">
        <v>6</v>
      </c>
      <c r="J36" s="261">
        <v>7</v>
      </c>
      <c r="K36" s="261">
        <v>8</v>
      </c>
      <c r="L36" s="261">
        <v>9</v>
      </c>
      <c r="M36" s="261">
        <v>10</v>
      </c>
      <c r="N36" s="261">
        <v>11</v>
      </c>
      <c r="O36" s="261">
        <v>12</v>
      </c>
      <c r="P36" s="261">
        <v>13</v>
      </c>
      <c r="Q36" s="261">
        <v>14</v>
      </c>
      <c r="R36" s="262">
        <v>15</v>
      </c>
      <c r="S36" s="57"/>
      <c r="T36" s="57"/>
      <c r="U36" s="57"/>
      <c r="V36" s="57"/>
      <c r="W36" s="57"/>
      <c r="X36" s="57"/>
      <c r="Y36" s="57"/>
      <c r="Z36" s="57"/>
      <c r="AA36" s="57"/>
      <c r="AB36" s="57"/>
      <c r="AC36" s="57"/>
      <c r="AH36" s="257"/>
      <c r="AI36" s="257"/>
      <c r="AJ36" s="257"/>
      <c r="AK36" s="257"/>
      <c r="AL36" s="257"/>
      <c r="AM36" s="257"/>
      <c r="AN36" s="257"/>
      <c r="AO36" s="257"/>
      <c r="AP36" s="257"/>
      <c r="AQ36" s="257"/>
      <c r="AR36" s="257"/>
      <c r="AS36" s="257"/>
      <c r="AT36" s="257"/>
      <c r="AU36" s="257"/>
      <c r="AV36" s="257"/>
      <c r="AW36" s="257"/>
      <c r="AX36" s="257"/>
      <c r="AY36" s="257"/>
      <c r="AZ36" s="257"/>
      <c r="BA36" s="257"/>
      <c r="BB36" s="257"/>
      <c r="BC36" s="257"/>
      <c r="BD36" s="257"/>
      <c r="BE36" s="257"/>
      <c r="BF36" s="257"/>
      <c r="BG36" s="257"/>
      <c r="BH36" s="257"/>
      <c r="BI36" s="257"/>
      <c r="BJ36" s="257"/>
    </row>
    <row r="37" spans="1:68" x14ac:dyDescent="0.15">
      <c r="A37" s="524" t="s">
        <v>874</v>
      </c>
      <c r="C37" s="525"/>
      <c r="D37" s="526">
        <f>-OpExpensePerKwMXN</f>
        <v>-1170</v>
      </c>
      <c r="E37" s="526">
        <f t="shared" ref="E37:R37" si="0">D37*(1+InflationRate)</f>
        <v>-1216.8</v>
      </c>
      <c r="F37" s="526">
        <f t="shared" si="0"/>
        <v>-1265.472</v>
      </c>
      <c r="G37" s="526">
        <f t="shared" si="0"/>
        <v>-1316.09088</v>
      </c>
      <c r="H37" s="526">
        <f t="shared" si="0"/>
        <v>-1368.7345152</v>
      </c>
      <c r="I37" s="526">
        <f t="shared" si="0"/>
        <v>-1423.4838958080002</v>
      </c>
      <c r="J37" s="526">
        <f t="shared" si="0"/>
        <v>-1480.4232516403201</v>
      </c>
      <c r="K37" s="526">
        <f t="shared" si="0"/>
        <v>-1539.6401817059329</v>
      </c>
      <c r="L37" s="526">
        <f t="shared" si="0"/>
        <v>-1601.2257889741704</v>
      </c>
      <c r="M37" s="526">
        <f t="shared" si="0"/>
        <v>-1665.2748205331372</v>
      </c>
      <c r="N37" s="526">
        <f t="shared" si="0"/>
        <v>-1731.8858133544627</v>
      </c>
      <c r="O37" s="526">
        <f t="shared" si="0"/>
        <v>-1801.1612458886414</v>
      </c>
      <c r="P37" s="526">
        <f t="shared" si="0"/>
        <v>-1873.207695724187</v>
      </c>
      <c r="Q37" s="526">
        <f t="shared" si="0"/>
        <v>-1948.1360035531545</v>
      </c>
      <c r="R37" s="527">
        <f t="shared" si="0"/>
        <v>-2026.0614436952808</v>
      </c>
      <c r="S37" s="57"/>
      <c r="T37" s="57"/>
      <c r="U37" s="57"/>
      <c r="V37" s="57"/>
      <c r="W37" s="57"/>
      <c r="X37" s="57"/>
      <c r="Y37" s="57"/>
      <c r="Z37" s="57"/>
      <c r="AA37" s="57"/>
      <c r="AB37" s="57"/>
      <c r="AC37" s="57"/>
      <c r="AH37" s="257"/>
      <c r="AI37" s="257"/>
      <c r="AJ37" s="257"/>
      <c r="AK37" s="257"/>
      <c r="AL37" s="257"/>
      <c r="AM37" s="257"/>
      <c r="AN37" s="257"/>
      <c r="AO37" s="257"/>
      <c r="AP37" s="257"/>
      <c r="AQ37" s="257"/>
      <c r="AR37" s="257"/>
      <c r="AS37" s="257"/>
      <c r="AT37" s="257"/>
      <c r="AU37" s="257"/>
      <c r="AV37" s="257"/>
      <c r="AW37" s="257"/>
      <c r="AX37" s="257"/>
      <c r="AY37" s="257"/>
      <c r="AZ37" s="257"/>
      <c r="BA37" s="257"/>
      <c r="BB37" s="257"/>
      <c r="BC37" s="257"/>
      <c r="BD37" s="257"/>
      <c r="BE37" s="257"/>
      <c r="BF37" s="257"/>
      <c r="BG37" s="257"/>
      <c r="BH37" s="257"/>
      <c r="BI37" s="257"/>
      <c r="BJ37" s="257"/>
    </row>
    <row r="38" spans="1:68" x14ac:dyDescent="0.15">
      <c r="A38" s="266" t="s">
        <v>1023</v>
      </c>
      <c r="C38" s="528"/>
      <c r="D38" s="254">
        <f t="shared" ref="D38:R38" si="1">IF(D36&lt;&gt;InverterReplaceYr,0,-InverterReplaceCostwIVA)</f>
        <v>0</v>
      </c>
      <c r="E38" s="254">
        <f t="shared" si="1"/>
        <v>0</v>
      </c>
      <c r="F38" s="254">
        <f t="shared" si="1"/>
        <v>0</v>
      </c>
      <c r="G38" s="254">
        <f t="shared" si="1"/>
        <v>0</v>
      </c>
      <c r="H38" s="254">
        <f t="shared" si="1"/>
        <v>0</v>
      </c>
      <c r="I38" s="254">
        <f t="shared" si="1"/>
        <v>0</v>
      </c>
      <c r="J38" s="254">
        <f t="shared" si="1"/>
        <v>0</v>
      </c>
      <c r="K38" s="254">
        <f t="shared" si="1"/>
        <v>0</v>
      </c>
      <c r="L38" s="254">
        <f t="shared" si="1"/>
        <v>0</v>
      </c>
      <c r="M38" s="254">
        <f t="shared" si="1"/>
        <v>0</v>
      </c>
      <c r="N38" s="254">
        <f t="shared" si="1"/>
        <v>0</v>
      </c>
      <c r="O38" s="254">
        <f t="shared" si="1"/>
        <v>-23922.967403817089</v>
      </c>
      <c r="P38" s="254">
        <f t="shared" si="1"/>
        <v>0</v>
      </c>
      <c r="Q38" s="254">
        <f t="shared" si="1"/>
        <v>0</v>
      </c>
      <c r="R38" s="529">
        <f t="shared" si="1"/>
        <v>0</v>
      </c>
      <c r="S38" s="57"/>
      <c r="T38" s="57"/>
      <c r="U38" s="57"/>
      <c r="V38" s="57"/>
      <c r="W38" s="57"/>
      <c r="X38" s="57"/>
      <c r="Y38" s="57"/>
      <c r="Z38" s="57"/>
      <c r="AA38" s="57"/>
      <c r="AB38" s="57"/>
      <c r="AC38" s="57"/>
      <c r="AH38" s="257"/>
      <c r="AI38" s="257"/>
      <c r="AJ38" s="257"/>
      <c r="AK38" s="257"/>
      <c r="AL38" s="257"/>
      <c r="AM38" s="257"/>
      <c r="AN38" s="257"/>
      <c r="AO38" s="257"/>
      <c r="AP38" s="257"/>
      <c r="AQ38" s="257"/>
      <c r="AR38" s="257"/>
      <c r="AS38" s="257"/>
      <c r="AT38" s="257"/>
      <c r="AU38" s="257"/>
      <c r="AV38" s="257"/>
      <c r="AW38" s="257"/>
      <c r="AX38" s="257"/>
      <c r="AY38" s="257"/>
      <c r="AZ38" s="257"/>
      <c r="BA38" s="257"/>
      <c r="BB38" s="257"/>
      <c r="BC38" s="257"/>
      <c r="BD38" s="257"/>
      <c r="BE38" s="257"/>
      <c r="BF38" s="257"/>
      <c r="BG38" s="257"/>
      <c r="BH38" s="257"/>
      <c r="BI38" s="257"/>
      <c r="BJ38" s="257"/>
    </row>
    <row r="39" spans="1:68" x14ac:dyDescent="0.15">
      <c r="A39" s="266" t="s">
        <v>1024</v>
      </c>
      <c r="C39" s="528"/>
      <c r="D39" s="254">
        <f>-EquipReplaceReservePerW_MXN</f>
        <v>0</v>
      </c>
      <c r="E39" s="254">
        <f t="shared" ref="E39" si="2">D39*(1+InflationRate)</f>
        <v>0</v>
      </c>
      <c r="F39" s="254">
        <f t="shared" ref="F39" si="3">E39*(1+InflationRate)</f>
        <v>0</v>
      </c>
      <c r="G39" s="254">
        <f t="shared" ref="G39" si="4">F39*(1+InflationRate)</f>
        <v>0</v>
      </c>
      <c r="H39" s="254">
        <f t="shared" ref="H39" si="5">G39*(1+InflationRate)</f>
        <v>0</v>
      </c>
      <c r="I39" s="254">
        <f t="shared" ref="I39" si="6">H39*(1+InflationRate)</f>
        <v>0</v>
      </c>
      <c r="J39" s="254">
        <f t="shared" ref="J39" si="7">I39*(1+InflationRate)</f>
        <v>0</v>
      </c>
      <c r="K39" s="254">
        <f t="shared" ref="K39" si="8">J39*(1+InflationRate)</f>
        <v>0</v>
      </c>
      <c r="L39" s="254">
        <f t="shared" ref="L39" si="9">K39*(1+InflationRate)</f>
        <v>0</v>
      </c>
      <c r="M39" s="254">
        <f t="shared" ref="M39" si="10">L39*(1+InflationRate)</f>
        <v>0</v>
      </c>
      <c r="N39" s="254">
        <f t="shared" ref="N39" si="11">M39*(1+InflationRate)</f>
        <v>0</v>
      </c>
      <c r="O39" s="254">
        <f t="shared" ref="O39" si="12">N39*(1+InflationRate)</f>
        <v>0</v>
      </c>
      <c r="P39" s="254">
        <f t="shared" ref="P39" si="13">O39*(1+InflationRate)</f>
        <v>0</v>
      </c>
      <c r="Q39" s="254">
        <f t="shared" ref="Q39" si="14">P39*(1+InflationRate)</f>
        <v>0</v>
      </c>
      <c r="R39" s="529">
        <f t="shared" ref="R39" si="15">Q39*(1+InflationRate)</f>
        <v>0</v>
      </c>
      <c r="S39" s="57"/>
      <c r="T39" s="57"/>
      <c r="U39" s="57"/>
      <c r="V39" s="57"/>
      <c r="W39" s="57"/>
      <c r="X39" s="57"/>
      <c r="Y39" s="57"/>
      <c r="Z39" s="57"/>
      <c r="AA39" s="57"/>
      <c r="AB39" s="57"/>
      <c r="AC39" s="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257"/>
      <c r="BJ39" s="257"/>
    </row>
    <row r="40" spans="1:68" x14ac:dyDescent="0.15">
      <c r="A40" s="530" t="s">
        <v>1026</v>
      </c>
      <c r="C40" s="531"/>
      <c r="D40" s="532">
        <f>SUM(D37:D39)</f>
        <v>-1170</v>
      </c>
      <c r="E40" s="532">
        <f t="shared" ref="E40:R40" si="16">SUM(E37:E39)</f>
        <v>-1216.8</v>
      </c>
      <c r="F40" s="532">
        <f t="shared" si="16"/>
        <v>-1265.472</v>
      </c>
      <c r="G40" s="532">
        <f t="shared" si="16"/>
        <v>-1316.09088</v>
      </c>
      <c r="H40" s="532">
        <f t="shared" si="16"/>
        <v>-1368.7345152</v>
      </c>
      <c r="I40" s="532">
        <f t="shared" si="16"/>
        <v>-1423.4838958080002</v>
      </c>
      <c r="J40" s="532">
        <f t="shared" si="16"/>
        <v>-1480.4232516403201</v>
      </c>
      <c r="K40" s="532">
        <f t="shared" si="16"/>
        <v>-1539.6401817059329</v>
      </c>
      <c r="L40" s="532">
        <f t="shared" si="16"/>
        <v>-1601.2257889741704</v>
      </c>
      <c r="M40" s="532">
        <f t="shared" si="16"/>
        <v>-1665.2748205331372</v>
      </c>
      <c r="N40" s="532">
        <f t="shared" si="16"/>
        <v>-1731.8858133544627</v>
      </c>
      <c r="O40" s="532">
        <f t="shared" si="16"/>
        <v>-25724.12864970573</v>
      </c>
      <c r="P40" s="532">
        <f t="shared" si="16"/>
        <v>-1873.207695724187</v>
      </c>
      <c r="Q40" s="532">
        <f t="shared" si="16"/>
        <v>-1948.1360035531545</v>
      </c>
      <c r="R40" s="533">
        <f t="shared" si="16"/>
        <v>-2026.0614436952808</v>
      </c>
      <c r="S40" s="57"/>
      <c r="T40" s="254"/>
      <c r="U40" s="57"/>
      <c r="V40" s="57"/>
      <c r="W40" s="57"/>
      <c r="X40" s="57"/>
      <c r="Y40" s="57"/>
      <c r="Z40" s="57"/>
      <c r="AA40" s="57"/>
      <c r="AB40" s="57"/>
      <c r="AC40" s="57"/>
      <c r="AH40" s="257"/>
      <c r="AI40" s="257"/>
      <c r="AJ40" s="257"/>
      <c r="AK40" s="257"/>
      <c r="AL40" s="257"/>
      <c r="AM40" s="257"/>
      <c r="AN40" s="257"/>
      <c r="AO40" s="257"/>
      <c r="AP40" s="257"/>
      <c r="AQ40" s="257"/>
      <c r="AR40" s="257"/>
      <c r="AS40" s="257"/>
      <c r="AT40" s="257"/>
      <c r="AU40" s="257"/>
      <c r="AV40" s="257"/>
      <c r="AW40" s="257"/>
      <c r="AX40" s="257"/>
      <c r="AY40" s="257"/>
      <c r="AZ40" s="257"/>
      <c r="BA40" s="257"/>
      <c r="BB40" s="257"/>
      <c r="BC40" s="257"/>
      <c r="BD40" s="257"/>
      <c r="BE40" s="257"/>
      <c r="BF40" s="257"/>
      <c r="BG40" s="257"/>
      <c r="BH40" s="257"/>
      <c r="BI40" s="257"/>
      <c r="BJ40" s="257"/>
    </row>
    <row r="41" spans="1:68" x14ac:dyDescent="0.15">
      <c r="A41" s="30"/>
      <c r="C41" s="258"/>
      <c r="D41" s="254"/>
      <c r="E41" s="254"/>
      <c r="F41" s="254"/>
      <c r="G41" s="254"/>
      <c r="H41" s="254"/>
      <c r="I41" s="254"/>
      <c r="J41" s="254"/>
      <c r="K41" s="254"/>
      <c r="L41" s="254"/>
      <c r="M41" s="254"/>
      <c r="N41" s="254"/>
      <c r="O41" s="254"/>
      <c r="P41" s="254"/>
      <c r="Q41" s="254"/>
      <c r="S41" s="57"/>
      <c r="T41" s="57"/>
      <c r="U41" s="57"/>
      <c r="V41" s="57"/>
      <c r="W41" s="57"/>
      <c r="X41" s="57"/>
      <c r="Y41" s="57"/>
      <c r="Z41" s="57"/>
      <c r="AA41" s="57"/>
      <c r="AB41" s="57"/>
      <c r="AC41" s="57"/>
      <c r="AH41" s="257"/>
      <c r="AI41" s="257"/>
      <c r="AJ41" s="257"/>
      <c r="AK41" s="257"/>
      <c r="AL41" s="257"/>
      <c r="AM41" s="257"/>
      <c r="AN41" s="257"/>
      <c r="AO41" s="257"/>
      <c r="AP41" s="257"/>
      <c r="AQ41" s="257"/>
      <c r="AR41" s="257"/>
      <c r="AS41" s="257"/>
      <c r="AT41" s="257"/>
      <c r="AU41" s="257"/>
      <c r="AV41" s="257"/>
      <c r="AW41" s="257"/>
      <c r="AX41" s="257"/>
      <c r="AY41" s="257"/>
      <c r="AZ41" s="257"/>
      <c r="BA41" s="257"/>
      <c r="BB41" s="257"/>
      <c r="BC41" s="257"/>
      <c r="BD41" s="257"/>
      <c r="BE41" s="257"/>
      <c r="BF41" s="257"/>
      <c r="BG41" s="257"/>
      <c r="BH41" s="257"/>
      <c r="BI41" s="257"/>
      <c r="BJ41" s="257"/>
    </row>
    <row r="42" spans="1:68" x14ac:dyDescent="0.15">
      <c r="A42" s="253" t="s">
        <v>295</v>
      </c>
      <c r="D42" s="645"/>
      <c r="E42" s="645"/>
      <c r="F42" s="645"/>
      <c r="G42" s="645"/>
      <c r="H42" s="645"/>
      <c r="I42" s="645"/>
      <c r="J42" s="645"/>
      <c r="K42" s="645"/>
      <c r="L42" s="645"/>
      <c r="M42" s="645"/>
      <c r="N42" s="645"/>
      <c r="O42" s="645"/>
      <c r="P42" s="645"/>
      <c r="Q42" s="645"/>
      <c r="R42" s="645"/>
      <c r="S42" s="57"/>
      <c r="T42" s="57"/>
      <c r="U42" s="57"/>
      <c r="V42" s="57"/>
      <c r="W42" s="57"/>
      <c r="X42" s="57"/>
      <c r="Y42" s="57"/>
      <c r="Z42" s="57"/>
      <c r="AA42" s="57"/>
      <c r="AB42" s="57"/>
      <c r="AC42" s="57"/>
    </row>
    <row r="43" spans="1:68" x14ac:dyDescent="0.15">
      <c r="A43" s="259" t="s">
        <v>18</v>
      </c>
      <c r="C43" s="260">
        <v>0</v>
      </c>
      <c r="D43" s="261">
        <v>1</v>
      </c>
      <c r="E43" s="261">
        <v>2</v>
      </c>
      <c r="F43" s="261">
        <v>3</v>
      </c>
      <c r="G43" s="261">
        <v>4</v>
      </c>
      <c r="H43" s="261">
        <v>5</v>
      </c>
      <c r="I43" s="261">
        <v>6</v>
      </c>
      <c r="J43" s="261">
        <v>7</v>
      </c>
      <c r="K43" s="261">
        <v>8</v>
      </c>
      <c r="L43" s="261">
        <v>9</v>
      </c>
      <c r="M43" s="261">
        <v>10</v>
      </c>
      <c r="N43" s="261">
        <v>11</v>
      </c>
      <c r="O43" s="261">
        <v>12</v>
      </c>
      <c r="P43" s="261">
        <v>13</v>
      </c>
      <c r="Q43" s="261">
        <v>14</v>
      </c>
      <c r="R43" s="262">
        <v>15</v>
      </c>
      <c r="S43" s="57"/>
      <c r="T43" s="57"/>
      <c r="U43" s="57"/>
      <c r="V43" s="57"/>
      <c r="W43" s="57"/>
      <c r="Y43" s="57"/>
      <c r="Z43" s="57"/>
      <c r="AA43" s="57"/>
      <c r="AB43" s="57"/>
      <c r="AC43" s="57"/>
      <c r="AD43" s="57"/>
      <c r="AE43" s="57"/>
      <c r="AF43" s="57"/>
      <c r="AG43" s="57"/>
      <c r="AH43" s="57"/>
      <c r="AI43" s="57"/>
    </row>
    <row r="44" spans="1:68" x14ac:dyDescent="0.15">
      <c r="A44" s="534" t="s">
        <v>1028</v>
      </c>
      <c r="C44" s="536"/>
      <c r="D44" s="537">
        <f>Sys_kWhPerYear</f>
        <v>5738.0070962362506</v>
      </c>
      <c r="E44" s="537">
        <f t="shared" ref="E44:R44" si="17">D44*(1-Sys_YrDegradationRate)</f>
        <v>5697.8410465625966</v>
      </c>
      <c r="F44" s="537">
        <f t="shared" si="17"/>
        <v>5657.9561592366581</v>
      </c>
      <c r="G44" s="537">
        <f t="shared" si="17"/>
        <v>5618.3504661220013</v>
      </c>
      <c r="H44" s="537">
        <f t="shared" si="17"/>
        <v>5579.0220128591473</v>
      </c>
      <c r="I44" s="537">
        <f t="shared" si="17"/>
        <v>5539.9688587691335</v>
      </c>
      <c r="J44" s="537">
        <f t="shared" si="17"/>
        <v>5501.1890767577497</v>
      </c>
      <c r="K44" s="537">
        <f t="shared" si="17"/>
        <v>5462.6807532204457</v>
      </c>
      <c r="L44" s="537">
        <f t="shared" si="17"/>
        <v>5424.4419879479028</v>
      </c>
      <c r="M44" s="537">
        <f t="shared" si="17"/>
        <v>5386.4708940322671</v>
      </c>
      <c r="N44" s="537">
        <f t="shared" si="17"/>
        <v>5348.7655977740415</v>
      </c>
      <c r="O44" s="537">
        <f t="shared" si="17"/>
        <v>5311.3242385896228</v>
      </c>
      <c r="P44" s="537">
        <f t="shared" si="17"/>
        <v>5274.1449689194951</v>
      </c>
      <c r="Q44" s="537">
        <f t="shared" si="17"/>
        <v>5237.2259541370586</v>
      </c>
      <c r="R44" s="538">
        <f t="shared" si="17"/>
        <v>5200.5653724580989</v>
      </c>
      <c r="S44" s="57"/>
      <c r="T44" s="57"/>
      <c r="U44" s="57"/>
      <c r="V44" s="57"/>
      <c r="W44" s="57"/>
      <c r="Y44" s="57"/>
      <c r="Z44" s="57"/>
      <c r="AA44" s="57"/>
      <c r="AB44" s="57"/>
      <c r="AC44" s="57"/>
      <c r="AD44" s="57"/>
      <c r="AE44" s="57"/>
      <c r="AF44" s="57"/>
      <c r="AG44" s="57"/>
      <c r="AH44" s="57"/>
      <c r="AI44" s="57"/>
    </row>
    <row r="45" spans="1:68" ht="10.5" customHeight="1" x14ac:dyDescent="0.15">
      <c r="A45" s="266" t="s">
        <v>296</v>
      </c>
      <c r="B45" s="263"/>
      <c r="C45" s="535"/>
      <c r="D45" s="254">
        <f>Sys_kWhPerYear*MySol_TotalRate*(1+IVA)</f>
        <v>24993.833179393579</v>
      </c>
      <c r="E45" s="254">
        <f t="shared" ref="E45:R45" si="18">IF(E$43&gt;Cust_LeaseTermYears,0,D45*(1+FinYrIncr))</f>
        <v>25868.617340672354</v>
      </c>
      <c r="F45" s="254">
        <f t="shared" si="18"/>
        <v>26774.018947595883</v>
      </c>
      <c r="G45" s="254">
        <f t="shared" si="18"/>
        <v>27711.109610761738</v>
      </c>
      <c r="H45" s="254">
        <f t="shared" si="18"/>
        <v>28680.998447138398</v>
      </c>
      <c r="I45" s="254">
        <f t="shared" si="18"/>
        <v>29684.833392788238</v>
      </c>
      <c r="J45" s="254">
        <f t="shared" si="18"/>
        <v>30723.802561535824</v>
      </c>
      <c r="K45" s="254">
        <f t="shared" si="18"/>
        <v>31799.135651189576</v>
      </c>
      <c r="L45" s="254">
        <f t="shared" si="18"/>
        <v>32912.105398981206</v>
      </c>
      <c r="M45" s="254">
        <f t="shared" si="18"/>
        <v>34064.029087945542</v>
      </c>
      <c r="N45" s="254">
        <f t="shared" si="18"/>
        <v>35256.270106023636</v>
      </c>
      <c r="O45" s="254">
        <f t="shared" si="18"/>
        <v>36490.239559734458</v>
      </c>
      <c r="P45" s="254">
        <f t="shared" si="18"/>
        <v>37767.397944325159</v>
      </c>
      <c r="Q45" s="254">
        <f t="shared" si="18"/>
        <v>39089.256872376536</v>
      </c>
      <c r="R45" s="268">
        <f t="shared" si="18"/>
        <v>40457.380862909711</v>
      </c>
      <c r="S45" s="57"/>
      <c r="T45" s="254"/>
      <c r="U45" s="57"/>
      <c r="V45" s="57"/>
      <c r="W45" s="57"/>
      <c r="Y45" s="57"/>
      <c r="Z45" s="57"/>
      <c r="AA45" s="57"/>
      <c r="AB45" s="57"/>
      <c r="AC45" s="57"/>
      <c r="AD45" s="57"/>
      <c r="AE45" s="57"/>
      <c r="AF45" s="57"/>
      <c r="AG45" s="57"/>
      <c r="AH45" s="57"/>
      <c r="AI45" s="57"/>
      <c r="AN45" s="257"/>
      <c r="AO45" s="257"/>
      <c r="AP45" s="257"/>
      <c r="AQ45" s="257"/>
      <c r="AR45" s="257"/>
      <c r="AS45" s="257"/>
      <c r="AT45" s="257"/>
      <c r="AU45" s="257"/>
      <c r="AV45" s="257"/>
      <c r="AW45" s="257"/>
      <c r="AX45" s="257"/>
      <c r="AY45" s="257"/>
      <c r="AZ45" s="257"/>
      <c r="BA45" s="257"/>
      <c r="BB45" s="257"/>
      <c r="BC45" s="257"/>
      <c r="BD45" s="257"/>
      <c r="BE45" s="257"/>
      <c r="BF45" s="257"/>
      <c r="BG45" s="257"/>
      <c r="BH45" s="257"/>
      <c r="BI45" s="257"/>
      <c r="BJ45" s="257"/>
      <c r="BK45" s="257"/>
      <c r="BL45" s="257"/>
      <c r="BM45" s="257"/>
      <c r="BN45" s="257"/>
      <c r="BO45" s="257"/>
      <c r="BP45" s="257"/>
    </row>
    <row r="46" spans="1:68" ht="10.5" customHeight="1" x14ac:dyDescent="0.15">
      <c r="A46" s="266" t="s">
        <v>1022</v>
      </c>
      <c r="B46" s="263"/>
      <c r="C46" s="267"/>
      <c r="D46" s="254">
        <f t="shared" ref="D46:R46" si="19">D45*(1-StdDefaultRate)</f>
        <v>24493.956515805708</v>
      </c>
      <c r="E46" s="254">
        <f t="shared" si="19"/>
        <v>25351.244993858905</v>
      </c>
      <c r="F46" s="254">
        <f t="shared" si="19"/>
        <v>26238.538568643966</v>
      </c>
      <c r="G46" s="254">
        <f t="shared" si="19"/>
        <v>27156.887418546503</v>
      </c>
      <c r="H46" s="254">
        <f t="shared" si="19"/>
        <v>28107.378478195631</v>
      </c>
      <c r="I46" s="254">
        <f t="shared" si="19"/>
        <v>29091.136724932472</v>
      </c>
      <c r="J46" s="254">
        <f t="shared" si="19"/>
        <v>30109.326510305105</v>
      </c>
      <c r="K46" s="254">
        <f t="shared" si="19"/>
        <v>31163.152938165782</v>
      </c>
      <c r="L46" s="254">
        <f t="shared" si="19"/>
        <v>32253.86329100158</v>
      </c>
      <c r="M46" s="254">
        <f t="shared" si="19"/>
        <v>33382.748506186632</v>
      </c>
      <c r="N46" s="254">
        <f t="shared" si="19"/>
        <v>34551.144703903163</v>
      </c>
      <c r="O46" s="254">
        <f t="shared" si="19"/>
        <v>35760.434768539766</v>
      </c>
      <c r="P46" s="254">
        <f t="shared" si="19"/>
        <v>37012.049985438658</v>
      </c>
      <c r="Q46" s="254">
        <f t="shared" si="19"/>
        <v>38307.471734929008</v>
      </c>
      <c r="R46" s="268">
        <f t="shared" si="19"/>
        <v>39648.233245651514</v>
      </c>
      <c r="S46" s="57"/>
      <c r="T46" s="254"/>
      <c r="U46" s="622"/>
      <c r="V46" s="57"/>
      <c r="W46" s="57"/>
      <c r="Y46" s="57"/>
      <c r="Z46" s="57"/>
      <c r="AA46" s="57"/>
      <c r="AB46" s="57"/>
      <c r="AC46" s="57"/>
      <c r="AD46" s="57"/>
      <c r="AE46" s="57"/>
      <c r="AF46" s="57"/>
      <c r="AG46" s="57"/>
      <c r="AH46" s="57"/>
      <c r="AI46" s="57"/>
      <c r="AN46" s="257"/>
      <c r="AO46" s="257"/>
      <c r="AP46" s="257"/>
      <c r="AQ46" s="257"/>
      <c r="AR46" s="257"/>
      <c r="AS46" s="257"/>
      <c r="AT46" s="257"/>
      <c r="AU46" s="257"/>
      <c r="AV46" s="257"/>
      <c r="AW46" s="257"/>
      <c r="AX46" s="257"/>
      <c r="AY46" s="257"/>
      <c r="AZ46" s="257"/>
      <c r="BA46" s="257"/>
      <c r="BB46" s="257"/>
      <c r="BC46" s="257"/>
      <c r="BD46" s="257"/>
      <c r="BE46" s="257"/>
      <c r="BF46" s="257"/>
      <c r="BG46" s="257"/>
      <c r="BH46" s="257"/>
      <c r="BI46" s="257"/>
      <c r="BJ46" s="257"/>
      <c r="BK46" s="257"/>
      <c r="BL46" s="257"/>
      <c r="BM46" s="257"/>
      <c r="BN46" s="257"/>
      <c r="BO46" s="257"/>
      <c r="BP46" s="257"/>
    </row>
    <row r="47" spans="1:68" ht="10.5" customHeight="1" x14ac:dyDescent="0.15">
      <c r="A47" s="266"/>
      <c r="B47" s="263"/>
      <c r="C47" s="267"/>
      <c r="D47" s="254"/>
      <c r="E47" s="254"/>
      <c r="F47" s="254"/>
      <c r="G47" s="254"/>
      <c r="H47" s="254"/>
      <c r="I47" s="254"/>
      <c r="J47" s="254"/>
      <c r="K47" s="254"/>
      <c r="L47" s="254"/>
      <c r="M47" s="254"/>
      <c r="N47" s="254"/>
      <c r="O47" s="254"/>
      <c r="P47" s="254"/>
      <c r="Q47" s="254"/>
      <c r="R47" s="268"/>
      <c r="S47" s="57"/>
      <c r="T47" s="57"/>
      <c r="U47" s="57"/>
      <c r="V47" s="57"/>
      <c r="W47" s="57"/>
      <c r="Y47" s="57"/>
      <c r="Z47" s="57"/>
      <c r="AA47" s="57"/>
      <c r="AB47" s="57"/>
      <c r="AC47" s="57"/>
      <c r="AD47" s="57"/>
      <c r="AE47" s="57"/>
      <c r="AF47" s="57"/>
      <c r="AG47" s="57"/>
      <c r="AH47" s="57"/>
      <c r="AI47" s="57"/>
      <c r="AN47" s="257"/>
      <c r="AO47" s="257"/>
      <c r="AP47" s="257"/>
      <c r="AQ47" s="257"/>
      <c r="AR47" s="257"/>
      <c r="AS47" s="257"/>
      <c r="AT47" s="257"/>
      <c r="AU47" s="257"/>
      <c r="AV47" s="257"/>
      <c r="AW47" s="257"/>
      <c r="AX47" s="257"/>
      <c r="AY47" s="257"/>
      <c r="AZ47" s="257"/>
      <c r="BA47" s="257"/>
      <c r="BB47" s="257"/>
      <c r="BC47" s="257"/>
      <c r="BD47" s="257"/>
      <c r="BE47" s="257"/>
      <c r="BF47" s="257"/>
      <c r="BG47" s="257"/>
      <c r="BH47" s="257"/>
      <c r="BI47" s="257"/>
      <c r="BJ47" s="257"/>
      <c r="BK47" s="257"/>
      <c r="BL47" s="257"/>
      <c r="BM47" s="257"/>
      <c r="BN47" s="257"/>
      <c r="BO47" s="257"/>
      <c r="BP47" s="257"/>
    </row>
    <row r="48" spans="1:68" ht="10.5" customHeight="1" x14ac:dyDescent="0.15">
      <c r="A48" s="266" t="s">
        <v>874</v>
      </c>
      <c r="B48" s="263"/>
      <c r="C48" s="267"/>
      <c r="D48" s="258">
        <f>D37</f>
        <v>-1170</v>
      </c>
      <c r="E48" s="254">
        <f t="shared" ref="E48:R48" si="20">IF(E$43&gt;Cust_LeaseTermYears,0,E37)</f>
        <v>-1216.8</v>
      </c>
      <c r="F48" s="254">
        <f t="shared" si="20"/>
        <v>-1265.472</v>
      </c>
      <c r="G48" s="254">
        <f t="shared" si="20"/>
        <v>-1316.09088</v>
      </c>
      <c r="H48" s="254">
        <f t="shared" si="20"/>
        <v>-1368.7345152</v>
      </c>
      <c r="I48" s="254">
        <f t="shared" si="20"/>
        <v>-1423.4838958080002</v>
      </c>
      <c r="J48" s="254">
        <f t="shared" si="20"/>
        <v>-1480.4232516403201</v>
      </c>
      <c r="K48" s="254">
        <f t="shared" si="20"/>
        <v>-1539.6401817059329</v>
      </c>
      <c r="L48" s="254">
        <f t="shared" si="20"/>
        <v>-1601.2257889741704</v>
      </c>
      <c r="M48" s="254">
        <f t="shared" si="20"/>
        <v>-1665.2748205331372</v>
      </c>
      <c r="N48" s="254">
        <f t="shared" si="20"/>
        <v>-1731.8858133544627</v>
      </c>
      <c r="O48" s="254">
        <f t="shared" si="20"/>
        <v>-1801.1612458886414</v>
      </c>
      <c r="P48" s="254">
        <f t="shared" si="20"/>
        <v>-1873.207695724187</v>
      </c>
      <c r="Q48" s="254">
        <f t="shared" si="20"/>
        <v>-1948.1360035531545</v>
      </c>
      <c r="R48" s="268">
        <f t="shared" si="20"/>
        <v>-2026.0614436952808</v>
      </c>
      <c r="S48" s="57"/>
      <c r="T48" s="254"/>
      <c r="U48" s="57"/>
      <c r="V48" s="57"/>
      <c r="W48" s="57"/>
      <c r="Y48" s="57"/>
      <c r="Z48" s="57"/>
      <c r="AA48" s="57"/>
      <c r="AB48" s="57"/>
      <c r="AC48" s="57"/>
      <c r="AD48" s="57"/>
      <c r="AE48" s="57"/>
      <c r="AF48" s="57"/>
      <c r="AG48" s="57"/>
      <c r="AH48" s="57"/>
      <c r="AI48" s="57"/>
      <c r="AN48" s="257"/>
      <c r="AO48" s="257"/>
      <c r="AP48" s="257"/>
      <c r="AQ48" s="257"/>
      <c r="AR48" s="257"/>
      <c r="AS48" s="257"/>
      <c r="AT48" s="257"/>
      <c r="AU48" s="257"/>
      <c r="AV48" s="257"/>
      <c r="AW48" s="257"/>
      <c r="AX48" s="257"/>
      <c r="AY48" s="257"/>
      <c r="AZ48" s="257"/>
      <c r="BA48" s="257"/>
      <c r="BB48" s="257"/>
      <c r="BC48" s="257"/>
      <c r="BD48" s="257"/>
      <c r="BE48" s="257"/>
      <c r="BF48" s="257"/>
      <c r="BG48" s="257"/>
      <c r="BH48" s="257"/>
      <c r="BI48" s="257"/>
      <c r="BJ48" s="257"/>
      <c r="BK48" s="257"/>
      <c r="BL48" s="257"/>
      <c r="BM48" s="257"/>
      <c r="BN48" s="257"/>
      <c r="BO48" s="257"/>
      <c r="BP48" s="257"/>
    </row>
    <row r="49" spans="1:183" ht="10.5" customHeight="1" x14ac:dyDescent="0.15">
      <c r="A49" s="266" t="s">
        <v>1023</v>
      </c>
      <c r="B49" s="263"/>
      <c r="C49" s="267"/>
      <c r="D49" s="258">
        <f t="shared" ref="D49:D50" si="21">D38</f>
        <v>0</v>
      </c>
      <c r="E49" s="254">
        <f t="shared" ref="E49:R49" si="22">IF(E$43&gt;Cust_LeaseTermYears,0,E38)</f>
        <v>0</v>
      </c>
      <c r="F49" s="254">
        <f t="shared" si="22"/>
        <v>0</v>
      </c>
      <c r="G49" s="254">
        <f t="shared" si="22"/>
        <v>0</v>
      </c>
      <c r="H49" s="254">
        <f t="shared" si="22"/>
        <v>0</v>
      </c>
      <c r="I49" s="254">
        <f t="shared" si="22"/>
        <v>0</v>
      </c>
      <c r="J49" s="254">
        <f t="shared" si="22"/>
        <v>0</v>
      </c>
      <c r="K49" s="254">
        <f t="shared" si="22"/>
        <v>0</v>
      </c>
      <c r="L49" s="254">
        <f t="shared" si="22"/>
        <v>0</v>
      </c>
      <c r="M49" s="254">
        <f t="shared" si="22"/>
        <v>0</v>
      </c>
      <c r="N49" s="254">
        <f t="shared" si="22"/>
        <v>0</v>
      </c>
      <c r="O49" s="254">
        <f t="shared" si="22"/>
        <v>-23922.967403817089</v>
      </c>
      <c r="P49" s="254">
        <f t="shared" si="22"/>
        <v>0</v>
      </c>
      <c r="Q49" s="254">
        <f t="shared" si="22"/>
        <v>0</v>
      </c>
      <c r="R49" s="268">
        <f t="shared" si="22"/>
        <v>0</v>
      </c>
      <c r="S49" s="57"/>
      <c r="T49" s="254"/>
      <c r="U49" s="57"/>
      <c r="V49" s="57"/>
      <c r="W49" s="57"/>
      <c r="Y49" s="57"/>
      <c r="Z49" s="57"/>
      <c r="AA49" s="57"/>
      <c r="AB49" s="57"/>
      <c r="AC49" s="57"/>
      <c r="AD49" s="57"/>
      <c r="AE49" s="57"/>
      <c r="AF49" s="57"/>
      <c r="AG49" s="57"/>
      <c r="AH49" s="57"/>
      <c r="AI49" s="57"/>
      <c r="AN49" s="257"/>
      <c r="AO49" s="257"/>
      <c r="AP49" s="257"/>
      <c r="AQ49" s="257"/>
      <c r="AR49" s="257"/>
      <c r="AS49" s="257"/>
      <c r="AT49" s="257"/>
      <c r="AU49" s="257"/>
      <c r="AV49" s="257"/>
      <c r="AW49" s="257"/>
      <c r="AX49" s="257"/>
      <c r="AY49" s="257"/>
      <c r="AZ49" s="257"/>
      <c r="BA49" s="257"/>
      <c r="BB49" s="257"/>
      <c r="BC49" s="257"/>
      <c r="BD49" s="257"/>
      <c r="BE49" s="257"/>
      <c r="BF49" s="257"/>
      <c r="BG49" s="257"/>
      <c r="BH49" s="257"/>
      <c r="BI49" s="257"/>
      <c r="BJ49" s="257"/>
      <c r="BK49" s="257"/>
      <c r="BL49" s="257"/>
      <c r="BM49" s="257"/>
      <c r="BN49" s="257"/>
      <c r="BO49" s="257"/>
      <c r="BP49" s="257"/>
    </row>
    <row r="50" spans="1:183" ht="10.5" customHeight="1" x14ac:dyDescent="0.15">
      <c r="A50" s="266" t="s">
        <v>1024</v>
      </c>
      <c r="B50" s="263"/>
      <c r="C50" s="267"/>
      <c r="D50" s="258">
        <f t="shared" si="21"/>
        <v>0</v>
      </c>
      <c r="E50" s="254">
        <f t="shared" ref="E50:R50" si="23">IF(E$43&gt;Cust_LeaseTermYears,0,E39)</f>
        <v>0</v>
      </c>
      <c r="F50" s="254">
        <f t="shared" si="23"/>
        <v>0</v>
      </c>
      <c r="G50" s="254">
        <f t="shared" si="23"/>
        <v>0</v>
      </c>
      <c r="H50" s="254">
        <f t="shared" si="23"/>
        <v>0</v>
      </c>
      <c r="I50" s="254">
        <f t="shared" si="23"/>
        <v>0</v>
      </c>
      <c r="J50" s="254">
        <f t="shared" si="23"/>
        <v>0</v>
      </c>
      <c r="K50" s="254">
        <f t="shared" si="23"/>
        <v>0</v>
      </c>
      <c r="L50" s="254">
        <f t="shared" si="23"/>
        <v>0</v>
      </c>
      <c r="M50" s="254">
        <f t="shared" si="23"/>
        <v>0</v>
      </c>
      <c r="N50" s="254">
        <f t="shared" si="23"/>
        <v>0</v>
      </c>
      <c r="O50" s="254">
        <f t="shared" si="23"/>
        <v>0</v>
      </c>
      <c r="P50" s="254">
        <f t="shared" si="23"/>
        <v>0</v>
      </c>
      <c r="Q50" s="254">
        <f t="shared" si="23"/>
        <v>0</v>
      </c>
      <c r="R50" s="268">
        <f t="shared" si="23"/>
        <v>0</v>
      </c>
      <c r="S50" s="57"/>
      <c r="T50" s="254"/>
      <c r="U50" s="57"/>
      <c r="V50" s="57"/>
      <c r="W50" s="57"/>
      <c r="Y50" s="57"/>
      <c r="Z50" s="57"/>
      <c r="AA50" s="57"/>
      <c r="AB50" s="57"/>
      <c r="AC50" s="57"/>
      <c r="AD50" s="57"/>
      <c r="AE50" s="57"/>
      <c r="AF50" s="57"/>
      <c r="AG50" s="57"/>
      <c r="AH50" s="57"/>
      <c r="AI50" s="57"/>
      <c r="AN50" s="257"/>
      <c r="AO50" s="257"/>
      <c r="AP50" s="257"/>
      <c r="AQ50" s="257"/>
      <c r="AR50" s="257"/>
      <c r="AS50" s="257"/>
      <c r="AT50" s="257"/>
      <c r="AU50" s="257"/>
      <c r="AV50" s="257"/>
      <c r="AW50" s="257"/>
      <c r="AX50" s="257"/>
      <c r="AY50" s="257"/>
      <c r="AZ50" s="257"/>
      <c r="BA50" s="257"/>
      <c r="BB50" s="257"/>
      <c r="BC50" s="257"/>
      <c r="BD50" s="257"/>
      <c r="BE50" s="257"/>
      <c r="BF50" s="257"/>
      <c r="BG50" s="257"/>
      <c r="BH50" s="257"/>
      <c r="BI50" s="257"/>
      <c r="BJ50" s="257"/>
      <c r="BK50" s="257"/>
      <c r="BL50" s="257"/>
      <c r="BM50" s="257"/>
      <c r="BN50" s="257"/>
      <c r="BO50" s="257"/>
      <c r="BP50" s="257"/>
    </row>
    <row r="51" spans="1:183" ht="10.5" customHeight="1" x14ac:dyDescent="0.15">
      <c r="A51" s="266" t="s">
        <v>1026</v>
      </c>
      <c r="B51" s="263"/>
      <c r="C51" s="267"/>
      <c r="D51" s="258">
        <f>SUM(D48:D50)</f>
        <v>-1170</v>
      </c>
      <c r="E51" s="254">
        <f t="shared" ref="E51:R51" si="24">SUM(E48:E50)</f>
        <v>-1216.8</v>
      </c>
      <c r="F51" s="254">
        <f t="shared" si="24"/>
        <v>-1265.472</v>
      </c>
      <c r="G51" s="254">
        <f t="shared" si="24"/>
        <v>-1316.09088</v>
      </c>
      <c r="H51" s="254">
        <f t="shared" si="24"/>
        <v>-1368.7345152</v>
      </c>
      <c r="I51" s="254">
        <f t="shared" si="24"/>
        <v>-1423.4838958080002</v>
      </c>
      <c r="J51" s="254">
        <f t="shared" si="24"/>
        <v>-1480.4232516403201</v>
      </c>
      <c r="K51" s="254">
        <f t="shared" si="24"/>
        <v>-1539.6401817059329</v>
      </c>
      <c r="L51" s="254">
        <f t="shared" si="24"/>
        <v>-1601.2257889741704</v>
      </c>
      <c r="M51" s="254">
        <f t="shared" si="24"/>
        <v>-1665.2748205331372</v>
      </c>
      <c r="N51" s="254">
        <f t="shared" si="24"/>
        <v>-1731.8858133544627</v>
      </c>
      <c r="O51" s="254">
        <f t="shared" si="24"/>
        <v>-25724.12864970573</v>
      </c>
      <c r="P51" s="254">
        <f t="shared" si="24"/>
        <v>-1873.207695724187</v>
      </c>
      <c r="Q51" s="254">
        <f t="shared" si="24"/>
        <v>-1948.1360035531545</v>
      </c>
      <c r="R51" s="268">
        <f t="shared" si="24"/>
        <v>-2026.0614436952808</v>
      </c>
      <c r="S51" s="57"/>
      <c r="T51" s="254"/>
      <c r="U51" s="57"/>
      <c r="V51" s="57"/>
      <c r="W51" s="57"/>
      <c r="Y51" s="57"/>
      <c r="Z51" s="57"/>
      <c r="AA51" s="57"/>
      <c r="AB51" s="57"/>
      <c r="AC51" s="57"/>
      <c r="AD51" s="57"/>
      <c r="AE51" s="57"/>
      <c r="AF51" s="57"/>
      <c r="AG51" s="57"/>
      <c r="AH51" s="57"/>
      <c r="AI51" s="57"/>
      <c r="AN51" s="257"/>
      <c r="AO51" s="257"/>
      <c r="AP51" s="257"/>
      <c r="AQ51" s="257"/>
      <c r="AR51" s="257"/>
      <c r="AS51" s="257"/>
      <c r="AT51" s="257"/>
      <c r="AU51" s="257"/>
      <c r="AV51" s="257"/>
      <c r="AW51" s="257"/>
      <c r="AX51" s="257"/>
      <c r="AY51" s="257"/>
      <c r="AZ51" s="257"/>
      <c r="BA51" s="257"/>
      <c r="BB51" s="257"/>
      <c r="BC51" s="257"/>
      <c r="BD51" s="257"/>
      <c r="BE51" s="257"/>
      <c r="BF51" s="257"/>
      <c r="BG51" s="257"/>
      <c r="BH51" s="257"/>
      <c r="BI51" s="257"/>
      <c r="BJ51" s="257"/>
      <c r="BK51" s="257"/>
      <c r="BL51" s="257"/>
      <c r="BM51" s="257"/>
      <c r="BN51" s="257"/>
      <c r="BO51" s="257"/>
      <c r="BP51" s="257"/>
    </row>
    <row r="52" spans="1:183" x14ac:dyDescent="0.15">
      <c r="A52" s="259" t="s">
        <v>297</v>
      </c>
      <c r="C52" s="270"/>
      <c r="D52" s="271">
        <f>D46+D51</f>
        <v>23323.956515805708</v>
      </c>
      <c r="E52" s="271">
        <f t="shared" ref="E52:R52" si="25">E46+E51</f>
        <v>24134.444993858906</v>
      </c>
      <c r="F52" s="271">
        <f t="shared" si="25"/>
        <v>24973.066568643964</v>
      </c>
      <c r="G52" s="271">
        <f t="shared" si="25"/>
        <v>25840.796538546503</v>
      </c>
      <c r="H52" s="271">
        <f t="shared" si="25"/>
        <v>26738.643962995629</v>
      </c>
      <c r="I52" s="271">
        <f t="shared" si="25"/>
        <v>27667.652829124472</v>
      </c>
      <c r="J52" s="271">
        <f t="shared" si="25"/>
        <v>28628.903258664785</v>
      </c>
      <c r="K52" s="271">
        <f t="shared" si="25"/>
        <v>29623.512756459848</v>
      </c>
      <c r="L52" s="271">
        <f t="shared" si="25"/>
        <v>30652.63750202741</v>
      </c>
      <c r="M52" s="271">
        <f t="shared" si="25"/>
        <v>31717.473685653495</v>
      </c>
      <c r="N52" s="271">
        <f t="shared" si="25"/>
        <v>32819.258890548699</v>
      </c>
      <c r="O52" s="271">
        <f t="shared" si="25"/>
        <v>10036.306118834036</v>
      </c>
      <c r="P52" s="271">
        <f t="shared" si="25"/>
        <v>35138.84228971447</v>
      </c>
      <c r="Q52" s="271">
        <f t="shared" si="25"/>
        <v>36359.335731375853</v>
      </c>
      <c r="R52" s="272">
        <f t="shared" si="25"/>
        <v>37622.171801956232</v>
      </c>
      <c r="S52" s="57"/>
      <c r="T52" s="254"/>
      <c r="U52" s="57"/>
      <c r="V52" s="57"/>
      <c r="W52" s="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7"/>
      <c r="BG52" s="257"/>
      <c r="BH52" s="257"/>
      <c r="BI52" s="257"/>
      <c r="BJ52" s="257"/>
      <c r="BK52" s="257"/>
      <c r="BL52" s="257"/>
      <c r="BM52" s="257"/>
      <c r="BN52" s="257"/>
      <c r="BO52" s="257"/>
      <c r="BP52" s="257"/>
    </row>
    <row r="53" spans="1:183" x14ac:dyDescent="0.15">
      <c r="A53" s="30"/>
      <c r="C53" s="273"/>
      <c r="D53" s="317"/>
      <c r="E53" s="273"/>
      <c r="F53" s="273"/>
      <c r="G53" s="273"/>
      <c r="H53" s="273"/>
      <c r="I53" s="273"/>
      <c r="J53" s="273"/>
      <c r="K53" s="273"/>
      <c r="L53" s="273"/>
      <c r="M53" s="273"/>
      <c r="N53" s="273"/>
      <c r="O53" s="273"/>
      <c r="P53" s="273"/>
      <c r="Q53" s="273"/>
      <c r="R53" s="273"/>
      <c r="X53" s="257"/>
      <c r="Y53" s="257"/>
      <c r="Z53" s="257"/>
      <c r="AA53" s="257"/>
      <c r="AB53" s="257"/>
      <c r="AC53" s="257"/>
      <c r="AD53" s="257"/>
      <c r="AE53" s="257"/>
      <c r="AF53" s="257"/>
      <c r="AG53" s="257"/>
      <c r="AH53" s="257"/>
      <c r="AI53" s="257"/>
      <c r="AJ53" s="257"/>
      <c r="AK53" s="257"/>
      <c r="AL53" s="257"/>
      <c r="AM53" s="257"/>
      <c r="AN53" s="257"/>
      <c r="AO53" s="257"/>
      <c r="AP53" s="257"/>
      <c r="AQ53" s="257"/>
      <c r="AR53" s="257"/>
      <c r="AS53" s="257"/>
      <c r="AT53" s="257"/>
      <c r="AU53" s="257"/>
      <c r="AV53" s="257"/>
      <c r="AW53" s="257"/>
      <c r="AX53" s="257"/>
      <c r="AY53" s="257"/>
      <c r="AZ53" s="257"/>
      <c r="BA53" s="257"/>
      <c r="BB53" s="257"/>
      <c r="BC53" s="257"/>
      <c r="BD53" s="257"/>
      <c r="BE53" s="257"/>
      <c r="BF53" s="257"/>
      <c r="BG53" s="257"/>
      <c r="BH53" s="257"/>
      <c r="BI53" s="257"/>
      <c r="BJ53" s="257"/>
    </row>
    <row r="54" spans="1:183" x14ac:dyDescent="0.15">
      <c r="A54" s="30"/>
      <c r="B54" s="30"/>
      <c r="C54" s="254"/>
      <c r="D54" s="254"/>
      <c r="E54" s="254"/>
      <c r="F54" s="254"/>
      <c r="G54" s="254"/>
      <c r="H54" s="254"/>
      <c r="I54" s="254"/>
      <c r="J54" s="254"/>
      <c r="K54" s="254"/>
      <c r="L54" s="254"/>
      <c r="M54" s="254"/>
      <c r="N54" s="254"/>
      <c r="O54" s="254"/>
      <c r="P54" s="254"/>
      <c r="Q54" s="254"/>
      <c r="R54" s="257"/>
      <c r="S54" s="257"/>
      <c r="T54" s="257"/>
      <c r="U54" s="257"/>
      <c r="V54" s="257"/>
      <c r="W54" s="257"/>
      <c r="X54" s="257"/>
      <c r="Y54" s="274"/>
      <c r="Z54" s="274"/>
      <c r="AA54" s="257"/>
      <c r="AB54" s="257"/>
      <c r="AC54" s="257"/>
      <c r="AD54" s="257"/>
      <c r="AE54" s="257"/>
      <c r="AF54" s="257"/>
      <c r="AG54" s="257"/>
      <c r="AH54" s="257"/>
      <c r="AI54" s="257"/>
      <c r="AJ54" s="257"/>
      <c r="AK54" s="257"/>
      <c r="AL54" s="257"/>
      <c r="AM54" s="257"/>
      <c r="AN54" s="257"/>
      <c r="AO54" s="257"/>
      <c r="AP54" s="257"/>
      <c r="AQ54" s="257"/>
      <c r="AR54" s="257"/>
      <c r="AS54" s="257"/>
      <c r="AT54" s="257"/>
      <c r="AU54" s="257"/>
      <c r="AV54" s="257"/>
      <c r="AW54" s="257"/>
      <c r="AX54" s="257"/>
      <c r="AY54" s="257"/>
      <c r="AZ54" s="257"/>
      <c r="BA54" s="257"/>
      <c r="BB54" s="257"/>
      <c r="BC54" s="257"/>
      <c r="BD54" s="257"/>
      <c r="BE54" s="257"/>
      <c r="BF54" s="257"/>
      <c r="BG54" s="257"/>
      <c r="BH54" s="257"/>
      <c r="BI54" s="257"/>
      <c r="BJ54" s="257"/>
    </row>
    <row r="55" spans="1:183" x14ac:dyDescent="0.15">
      <c r="A55" s="253" t="s">
        <v>298</v>
      </c>
      <c r="D55" s="385"/>
      <c r="E55" s="385"/>
      <c r="F55" s="385"/>
      <c r="G55" s="385"/>
      <c r="H55" s="385"/>
      <c r="I55" s="385"/>
      <c r="J55" s="385"/>
      <c r="K55" s="385"/>
      <c r="L55" s="385"/>
      <c r="M55" s="385"/>
      <c r="N55" s="385"/>
      <c r="O55" s="385"/>
      <c r="P55" s="385"/>
      <c r="Q55" s="385"/>
      <c r="R55" s="385"/>
    </row>
    <row r="56" spans="1:183" x14ac:dyDescent="0.15">
      <c r="A56" s="275" t="s">
        <v>299</v>
      </c>
      <c r="C56" s="276">
        <v>0</v>
      </c>
      <c r="D56" s="277">
        <v>1</v>
      </c>
      <c r="E56" s="277">
        <v>2</v>
      </c>
      <c r="F56" s="277">
        <v>3</v>
      </c>
      <c r="G56" s="277">
        <v>4</v>
      </c>
      <c r="H56" s="277">
        <v>5</v>
      </c>
      <c r="I56" s="277">
        <v>6</v>
      </c>
      <c r="J56" s="277">
        <v>7</v>
      </c>
      <c r="K56" s="277">
        <v>8</v>
      </c>
      <c r="L56" s="277">
        <v>9</v>
      </c>
      <c r="M56" s="277">
        <v>10</v>
      </c>
      <c r="N56" s="277">
        <v>11</v>
      </c>
      <c r="O56" s="277">
        <v>12</v>
      </c>
      <c r="P56" s="277">
        <v>13</v>
      </c>
      <c r="Q56" s="277">
        <v>14</v>
      </c>
      <c r="R56" s="277">
        <v>15</v>
      </c>
      <c r="S56" s="277">
        <v>16</v>
      </c>
      <c r="T56" s="277">
        <v>17</v>
      </c>
      <c r="U56" s="277">
        <v>18</v>
      </c>
      <c r="V56" s="277">
        <v>19</v>
      </c>
      <c r="W56" s="277">
        <v>20</v>
      </c>
      <c r="X56" s="277">
        <v>21</v>
      </c>
      <c r="Y56" s="277">
        <v>22</v>
      </c>
      <c r="Z56" s="277">
        <v>23</v>
      </c>
      <c r="AA56" s="277">
        <v>24</v>
      </c>
      <c r="AB56" s="277">
        <v>25</v>
      </c>
      <c r="AC56" s="277">
        <v>26</v>
      </c>
      <c r="AD56" s="277">
        <v>27</v>
      </c>
      <c r="AE56" s="277">
        <v>28</v>
      </c>
      <c r="AF56" s="277">
        <v>29</v>
      </c>
      <c r="AG56" s="277">
        <v>30</v>
      </c>
      <c r="AH56" s="277">
        <v>31</v>
      </c>
      <c r="AI56" s="277">
        <v>32</v>
      </c>
      <c r="AJ56" s="277">
        <v>33</v>
      </c>
      <c r="AK56" s="277">
        <v>34</v>
      </c>
      <c r="AL56" s="277">
        <v>35</v>
      </c>
      <c r="AM56" s="277">
        <v>36</v>
      </c>
      <c r="AN56" s="277">
        <v>37</v>
      </c>
      <c r="AO56" s="277">
        <v>38</v>
      </c>
      <c r="AP56" s="277">
        <v>39</v>
      </c>
      <c r="AQ56" s="277">
        <v>40</v>
      </c>
      <c r="AR56" s="277">
        <v>41</v>
      </c>
      <c r="AS56" s="277">
        <v>42</v>
      </c>
      <c r="AT56" s="277">
        <v>43</v>
      </c>
      <c r="AU56" s="277">
        <v>44</v>
      </c>
      <c r="AV56" s="277">
        <v>45</v>
      </c>
      <c r="AW56" s="277">
        <v>46</v>
      </c>
      <c r="AX56" s="277">
        <v>47</v>
      </c>
      <c r="AY56" s="277">
        <v>48</v>
      </c>
      <c r="AZ56" s="277">
        <v>49</v>
      </c>
      <c r="BA56" s="277">
        <v>50</v>
      </c>
      <c r="BB56" s="277">
        <v>51</v>
      </c>
      <c r="BC56" s="277">
        <v>52</v>
      </c>
      <c r="BD56" s="277">
        <v>53</v>
      </c>
      <c r="BE56" s="277">
        <v>54</v>
      </c>
      <c r="BF56" s="277">
        <v>55</v>
      </c>
      <c r="BG56" s="277">
        <v>56</v>
      </c>
      <c r="BH56" s="277">
        <v>57</v>
      </c>
      <c r="BI56" s="277">
        <v>58</v>
      </c>
      <c r="BJ56" s="277">
        <v>59</v>
      </c>
      <c r="BK56" s="277">
        <v>60</v>
      </c>
      <c r="BL56" s="277">
        <v>61</v>
      </c>
      <c r="BM56" s="277">
        <v>62</v>
      </c>
      <c r="BN56" s="277">
        <v>63</v>
      </c>
      <c r="BO56" s="277">
        <v>64</v>
      </c>
      <c r="BP56" s="277">
        <v>65</v>
      </c>
      <c r="BQ56" s="277">
        <v>66</v>
      </c>
      <c r="BR56" s="277">
        <v>67</v>
      </c>
      <c r="BS56" s="277">
        <v>68</v>
      </c>
      <c r="BT56" s="277">
        <v>69</v>
      </c>
      <c r="BU56" s="277">
        <v>70</v>
      </c>
      <c r="BV56" s="277">
        <v>71</v>
      </c>
      <c r="BW56" s="277">
        <v>72</v>
      </c>
      <c r="BX56" s="277">
        <v>73</v>
      </c>
      <c r="BY56" s="277">
        <v>74</v>
      </c>
      <c r="BZ56" s="277">
        <v>75</v>
      </c>
      <c r="CA56" s="277">
        <v>76</v>
      </c>
      <c r="CB56" s="277">
        <v>77</v>
      </c>
      <c r="CC56" s="277">
        <v>78</v>
      </c>
      <c r="CD56" s="277">
        <v>79</v>
      </c>
      <c r="CE56" s="277">
        <v>80</v>
      </c>
      <c r="CF56" s="277">
        <v>81</v>
      </c>
      <c r="CG56" s="277">
        <v>82</v>
      </c>
      <c r="CH56" s="277">
        <v>83</v>
      </c>
      <c r="CI56" s="277">
        <v>84</v>
      </c>
      <c r="CJ56" s="277">
        <v>85</v>
      </c>
      <c r="CK56" s="277">
        <v>86</v>
      </c>
      <c r="CL56" s="277">
        <v>87</v>
      </c>
      <c r="CM56" s="277">
        <v>88</v>
      </c>
      <c r="CN56" s="277">
        <v>89</v>
      </c>
      <c r="CO56" s="277">
        <v>90</v>
      </c>
      <c r="CP56" s="277">
        <v>91</v>
      </c>
      <c r="CQ56" s="277">
        <v>92</v>
      </c>
      <c r="CR56" s="277">
        <v>93</v>
      </c>
      <c r="CS56" s="277">
        <v>94</v>
      </c>
      <c r="CT56" s="277">
        <v>95</v>
      </c>
      <c r="CU56" s="277">
        <v>96</v>
      </c>
      <c r="CV56" s="277">
        <v>97</v>
      </c>
      <c r="CW56" s="277">
        <v>98</v>
      </c>
      <c r="CX56" s="277">
        <v>99</v>
      </c>
      <c r="CY56" s="277">
        <v>100</v>
      </c>
      <c r="CZ56" s="277">
        <v>101</v>
      </c>
      <c r="DA56" s="277">
        <v>102</v>
      </c>
      <c r="DB56" s="277">
        <v>103</v>
      </c>
      <c r="DC56" s="277">
        <v>104</v>
      </c>
      <c r="DD56" s="277">
        <v>105</v>
      </c>
      <c r="DE56" s="277">
        <v>106</v>
      </c>
      <c r="DF56" s="277">
        <v>107</v>
      </c>
      <c r="DG56" s="277">
        <v>108</v>
      </c>
      <c r="DH56" s="277">
        <v>109</v>
      </c>
      <c r="DI56" s="277">
        <v>110</v>
      </c>
      <c r="DJ56" s="277">
        <v>111</v>
      </c>
      <c r="DK56" s="277">
        <v>112</v>
      </c>
      <c r="DL56" s="277">
        <v>113</v>
      </c>
      <c r="DM56" s="277">
        <v>114</v>
      </c>
      <c r="DN56" s="277">
        <v>115</v>
      </c>
      <c r="DO56" s="277">
        <v>116</v>
      </c>
      <c r="DP56" s="277">
        <v>117</v>
      </c>
      <c r="DQ56" s="277">
        <v>118</v>
      </c>
      <c r="DR56" s="277">
        <v>119</v>
      </c>
      <c r="DS56" s="277">
        <v>120</v>
      </c>
      <c r="DT56" s="277">
        <v>121</v>
      </c>
      <c r="DU56" s="277">
        <v>122</v>
      </c>
      <c r="DV56" s="277">
        <v>123</v>
      </c>
      <c r="DW56" s="277">
        <v>124</v>
      </c>
      <c r="DX56" s="277">
        <v>125</v>
      </c>
      <c r="DY56" s="277">
        <v>126</v>
      </c>
      <c r="DZ56" s="277">
        <v>127</v>
      </c>
      <c r="EA56" s="277">
        <v>128</v>
      </c>
      <c r="EB56" s="277">
        <v>129</v>
      </c>
      <c r="EC56" s="277">
        <v>130</v>
      </c>
      <c r="ED56" s="277">
        <v>131</v>
      </c>
      <c r="EE56" s="277">
        <v>132</v>
      </c>
      <c r="EF56" s="277">
        <v>133</v>
      </c>
      <c r="EG56" s="277">
        <v>134</v>
      </c>
      <c r="EH56" s="277">
        <v>135</v>
      </c>
      <c r="EI56" s="277">
        <v>136</v>
      </c>
      <c r="EJ56" s="277">
        <v>137</v>
      </c>
      <c r="EK56" s="277">
        <v>138</v>
      </c>
      <c r="EL56" s="277">
        <v>139</v>
      </c>
      <c r="EM56" s="277">
        <v>140</v>
      </c>
      <c r="EN56" s="277">
        <v>141</v>
      </c>
      <c r="EO56" s="277">
        <v>142</v>
      </c>
      <c r="EP56" s="277">
        <v>143</v>
      </c>
      <c r="EQ56" s="277">
        <v>144</v>
      </c>
      <c r="ER56" s="277">
        <v>145</v>
      </c>
      <c r="ES56" s="277">
        <v>146</v>
      </c>
      <c r="ET56" s="277">
        <v>147</v>
      </c>
      <c r="EU56" s="277">
        <v>148</v>
      </c>
      <c r="EV56" s="277">
        <v>149</v>
      </c>
      <c r="EW56" s="277">
        <v>150</v>
      </c>
      <c r="EX56" s="277">
        <v>151</v>
      </c>
      <c r="EY56" s="277">
        <v>152</v>
      </c>
      <c r="EZ56" s="277">
        <v>153</v>
      </c>
      <c r="FA56" s="277">
        <v>154</v>
      </c>
      <c r="FB56" s="277">
        <v>155</v>
      </c>
      <c r="FC56" s="277">
        <v>156</v>
      </c>
      <c r="FD56" s="277">
        <v>157</v>
      </c>
      <c r="FE56" s="277">
        <v>158</v>
      </c>
      <c r="FF56" s="277">
        <v>159</v>
      </c>
      <c r="FG56" s="277">
        <v>160</v>
      </c>
      <c r="FH56" s="277">
        <v>161</v>
      </c>
      <c r="FI56" s="277">
        <v>162</v>
      </c>
      <c r="FJ56" s="277">
        <v>163</v>
      </c>
      <c r="FK56" s="277">
        <v>164</v>
      </c>
      <c r="FL56" s="277">
        <v>165</v>
      </c>
      <c r="FM56" s="277">
        <v>166</v>
      </c>
      <c r="FN56" s="277">
        <v>167</v>
      </c>
      <c r="FO56" s="277">
        <v>168</v>
      </c>
      <c r="FP56" s="277">
        <v>169</v>
      </c>
      <c r="FQ56" s="277">
        <v>170</v>
      </c>
      <c r="FR56" s="277">
        <v>171</v>
      </c>
      <c r="FS56" s="277">
        <v>172</v>
      </c>
      <c r="FT56" s="277">
        <v>173</v>
      </c>
      <c r="FU56" s="277">
        <v>174</v>
      </c>
      <c r="FV56" s="277">
        <v>175</v>
      </c>
      <c r="FW56" s="277">
        <v>176</v>
      </c>
      <c r="FX56" s="277">
        <v>177</v>
      </c>
      <c r="FY56" s="277">
        <v>178</v>
      </c>
      <c r="FZ56" s="277">
        <v>179</v>
      </c>
      <c r="GA56" s="278">
        <v>180</v>
      </c>
    </row>
    <row r="57" spans="1:183" x14ac:dyDescent="0.15">
      <c r="A57" s="279" t="s">
        <v>18</v>
      </c>
      <c r="C57" s="280">
        <f>ROUNDUP(C56/12,0)</f>
        <v>0</v>
      </c>
      <c r="D57" s="30">
        <f>ROUNDUP(D56/12,0)</f>
        <v>1</v>
      </c>
      <c r="E57" s="30">
        <f t="shared" ref="E57:BP57" si="26">ROUNDUP(E56/12,0)</f>
        <v>1</v>
      </c>
      <c r="F57" s="30">
        <f t="shared" si="26"/>
        <v>1</v>
      </c>
      <c r="G57" s="30">
        <f t="shared" si="26"/>
        <v>1</v>
      </c>
      <c r="H57" s="30">
        <f t="shared" si="26"/>
        <v>1</v>
      </c>
      <c r="I57" s="30">
        <f t="shared" si="26"/>
        <v>1</v>
      </c>
      <c r="J57" s="30">
        <f t="shared" si="26"/>
        <v>1</v>
      </c>
      <c r="K57" s="30">
        <f t="shared" si="26"/>
        <v>1</v>
      </c>
      <c r="L57" s="30">
        <f t="shared" si="26"/>
        <v>1</v>
      </c>
      <c r="M57" s="30">
        <f t="shared" si="26"/>
        <v>1</v>
      </c>
      <c r="N57" s="30">
        <f t="shared" si="26"/>
        <v>1</v>
      </c>
      <c r="O57" s="30">
        <f t="shared" si="26"/>
        <v>1</v>
      </c>
      <c r="P57" s="30">
        <f t="shared" si="26"/>
        <v>2</v>
      </c>
      <c r="Q57" s="30">
        <f t="shared" si="26"/>
        <v>2</v>
      </c>
      <c r="R57" s="30">
        <f t="shared" si="26"/>
        <v>2</v>
      </c>
      <c r="S57" s="30">
        <f t="shared" si="26"/>
        <v>2</v>
      </c>
      <c r="T57" s="30">
        <f t="shared" si="26"/>
        <v>2</v>
      </c>
      <c r="U57" s="30">
        <f t="shared" si="26"/>
        <v>2</v>
      </c>
      <c r="V57" s="30">
        <f t="shared" si="26"/>
        <v>2</v>
      </c>
      <c r="W57" s="30">
        <f t="shared" si="26"/>
        <v>2</v>
      </c>
      <c r="X57" s="30">
        <f t="shared" si="26"/>
        <v>2</v>
      </c>
      <c r="Y57" s="30">
        <f t="shared" si="26"/>
        <v>2</v>
      </c>
      <c r="Z57" s="30">
        <f t="shared" si="26"/>
        <v>2</v>
      </c>
      <c r="AA57" s="30">
        <f t="shared" si="26"/>
        <v>2</v>
      </c>
      <c r="AB57" s="30">
        <f t="shared" si="26"/>
        <v>3</v>
      </c>
      <c r="AC57" s="30">
        <f t="shared" si="26"/>
        <v>3</v>
      </c>
      <c r="AD57" s="30">
        <f t="shared" si="26"/>
        <v>3</v>
      </c>
      <c r="AE57" s="30">
        <f t="shared" si="26"/>
        <v>3</v>
      </c>
      <c r="AF57" s="30">
        <f t="shared" si="26"/>
        <v>3</v>
      </c>
      <c r="AG57" s="30">
        <f t="shared" si="26"/>
        <v>3</v>
      </c>
      <c r="AH57" s="30">
        <f t="shared" si="26"/>
        <v>3</v>
      </c>
      <c r="AI57" s="30">
        <f t="shared" si="26"/>
        <v>3</v>
      </c>
      <c r="AJ57" s="30">
        <f t="shared" si="26"/>
        <v>3</v>
      </c>
      <c r="AK57" s="30">
        <f t="shared" si="26"/>
        <v>3</v>
      </c>
      <c r="AL57" s="30">
        <f t="shared" si="26"/>
        <v>3</v>
      </c>
      <c r="AM57" s="30">
        <f t="shared" si="26"/>
        <v>3</v>
      </c>
      <c r="AN57" s="30">
        <f t="shared" si="26"/>
        <v>4</v>
      </c>
      <c r="AO57" s="30">
        <f t="shared" si="26"/>
        <v>4</v>
      </c>
      <c r="AP57" s="30">
        <f t="shared" si="26"/>
        <v>4</v>
      </c>
      <c r="AQ57" s="30">
        <f t="shared" si="26"/>
        <v>4</v>
      </c>
      <c r="AR57" s="30">
        <f t="shared" si="26"/>
        <v>4</v>
      </c>
      <c r="AS57" s="30">
        <f t="shared" si="26"/>
        <v>4</v>
      </c>
      <c r="AT57" s="30">
        <f t="shared" si="26"/>
        <v>4</v>
      </c>
      <c r="AU57" s="30">
        <f t="shared" si="26"/>
        <v>4</v>
      </c>
      <c r="AV57" s="30">
        <f t="shared" si="26"/>
        <v>4</v>
      </c>
      <c r="AW57" s="30">
        <f t="shared" si="26"/>
        <v>4</v>
      </c>
      <c r="AX57" s="30">
        <f t="shared" si="26"/>
        <v>4</v>
      </c>
      <c r="AY57" s="30">
        <f t="shared" si="26"/>
        <v>4</v>
      </c>
      <c r="AZ57" s="30">
        <f t="shared" si="26"/>
        <v>5</v>
      </c>
      <c r="BA57" s="30">
        <f t="shared" si="26"/>
        <v>5</v>
      </c>
      <c r="BB57" s="30">
        <f t="shared" si="26"/>
        <v>5</v>
      </c>
      <c r="BC57" s="30">
        <f t="shared" si="26"/>
        <v>5</v>
      </c>
      <c r="BD57" s="30">
        <f t="shared" si="26"/>
        <v>5</v>
      </c>
      <c r="BE57" s="30">
        <f t="shared" si="26"/>
        <v>5</v>
      </c>
      <c r="BF57" s="30">
        <f t="shared" si="26"/>
        <v>5</v>
      </c>
      <c r="BG57" s="30">
        <f t="shared" si="26"/>
        <v>5</v>
      </c>
      <c r="BH57" s="30">
        <f t="shared" si="26"/>
        <v>5</v>
      </c>
      <c r="BI57" s="30">
        <f t="shared" si="26"/>
        <v>5</v>
      </c>
      <c r="BJ57" s="30">
        <f t="shared" si="26"/>
        <v>5</v>
      </c>
      <c r="BK57" s="30">
        <f t="shared" si="26"/>
        <v>5</v>
      </c>
      <c r="BL57" s="30">
        <f t="shared" si="26"/>
        <v>6</v>
      </c>
      <c r="BM57" s="30">
        <f t="shared" si="26"/>
        <v>6</v>
      </c>
      <c r="BN57" s="30">
        <f t="shared" si="26"/>
        <v>6</v>
      </c>
      <c r="BO57" s="30">
        <f t="shared" si="26"/>
        <v>6</v>
      </c>
      <c r="BP57" s="30">
        <f t="shared" si="26"/>
        <v>6</v>
      </c>
      <c r="BQ57" s="30">
        <f t="shared" ref="BQ57:EB57" si="27">ROUNDUP(BQ56/12,0)</f>
        <v>6</v>
      </c>
      <c r="BR57" s="30">
        <f t="shared" si="27"/>
        <v>6</v>
      </c>
      <c r="BS57" s="30">
        <f t="shared" si="27"/>
        <v>6</v>
      </c>
      <c r="BT57" s="30">
        <f t="shared" si="27"/>
        <v>6</v>
      </c>
      <c r="BU57" s="30">
        <f t="shared" si="27"/>
        <v>6</v>
      </c>
      <c r="BV57" s="30">
        <f t="shared" si="27"/>
        <v>6</v>
      </c>
      <c r="BW57" s="30">
        <f t="shared" si="27"/>
        <v>6</v>
      </c>
      <c r="BX57" s="30">
        <f t="shared" si="27"/>
        <v>7</v>
      </c>
      <c r="BY57" s="30">
        <f t="shared" si="27"/>
        <v>7</v>
      </c>
      <c r="BZ57" s="30">
        <f t="shared" si="27"/>
        <v>7</v>
      </c>
      <c r="CA57" s="30">
        <f t="shared" si="27"/>
        <v>7</v>
      </c>
      <c r="CB57" s="30">
        <f t="shared" si="27"/>
        <v>7</v>
      </c>
      <c r="CC57" s="30">
        <f t="shared" si="27"/>
        <v>7</v>
      </c>
      <c r="CD57" s="30">
        <f t="shared" si="27"/>
        <v>7</v>
      </c>
      <c r="CE57" s="30">
        <f t="shared" si="27"/>
        <v>7</v>
      </c>
      <c r="CF57" s="30">
        <f t="shared" si="27"/>
        <v>7</v>
      </c>
      <c r="CG57" s="30">
        <f t="shared" si="27"/>
        <v>7</v>
      </c>
      <c r="CH57" s="30">
        <f t="shared" si="27"/>
        <v>7</v>
      </c>
      <c r="CI57" s="30">
        <f t="shared" si="27"/>
        <v>7</v>
      </c>
      <c r="CJ57" s="30">
        <f t="shared" si="27"/>
        <v>8</v>
      </c>
      <c r="CK57" s="30">
        <f t="shared" si="27"/>
        <v>8</v>
      </c>
      <c r="CL57" s="30">
        <f t="shared" si="27"/>
        <v>8</v>
      </c>
      <c r="CM57" s="30">
        <f t="shared" si="27"/>
        <v>8</v>
      </c>
      <c r="CN57" s="30">
        <f t="shared" si="27"/>
        <v>8</v>
      </c>
      <c r="CO57" s="30">
        <f t="shared" si="27"/>
        <v>8</v>
      </c>
      <c r="CP57" s="30">
        <f t="shared" si="27"/>
        <v>8</v>
      </c>
      <c r="CQ57" s="30">
        <f t="shared" si="27"/>
        <v>8</v>
      </c>
      <c r="CR57" s="30">
        <f t="shared" si="27"/>
        <v>8</v>
      </c>
      <c r="CS57" s="30">
        <f t="shared" si="27"/>
        <v>8</v>
      </c>
      <c r="CT57" s="30">
        <f t="shared" si="27"/>
        <v>8</v>
      </c>
      <c r="CU57" s="30">
        <f t="shared" si="27"/>
        <v>8</v>
      </c>
      <c r="CV57" s="30">
        <f t="shared" si="27"/>
        <v>9</v>
      </c>
      <c r="CW57" s="30">
        <f t="shared" si="27"/>
        <v>9</v>
      </c>
      <c r="CX57" s="30">
        <f t="shared" si="27"/>
        <v>9</v>
      </c>
      <c r="CY57" s="30">
        <f t="shared" si="27"/>
        <v>9</v>
      </c>
      <c r="CZ57" s="30">
        <f t="shared" si="27"/>
        <v>9</v>
      </c>
      <c r="DA57" s="30">
        <f t="shared" si="27"/>
        <v>9</v>
      </c>
      <c r="DB57" s="30">
        <f t="shared" si="27"/>
        <v>9</v>
      </c>
      <c r="DC57" s="30">
        <f t="shared" si="27"/>
        <v>9</v>
      </c>
      <c r="DD57" s="30">
        <f t="shared" si="27"/>
        <v>9</v>
      </c>
      <c r="DE57" s="30">
        <f t="shared" si="27"/>
        <v>9</v>
      </c>
      <c r="DF57" s="30">
        <f t="shared" si="27"/>
        <v>9</v>
      </c>
      <c r="DG57" s="30">
        <f t="shared" si="27"/>
        <v>9</v>
      </c>
      <c r="DH57" s="30">
        <f t="shared" si="27"/>
        <v>10</v>
      </c>
      <c r="DI57" s="30">
        <f t="shared" si="27"/>
        <v>10</v>
      </c>
      <c r="DJ57" s="30">
        <f t="shared" si="27"/>
        <v>10</v>
      </c>
      <c r="DK57" s="30">
        <f t="shared" si="27"/>
        <v>10</v>
      </c>
      <c r="DL57" s="30">
        <f t="shared" si="27"/>
        <v>10</v>
      </c>
      <c r="DM57" s="30">
        <f t="shared" si="27"/>
        <v>10</v>
      </c>
      <c r="DN57" s="30">
        <f t="shared" si="27"/>
        <v>10</v>
      </c>
      <c r="DO57" s="30">
        <f t="shared" si="27"/>
        <v>10</v>
      </c>
      <c r="DP57" s="30">
        <f t="shared" si="27"/>
        <v>10</v>
      </c>
      <c r="DQ57" s="30">
        <f t="shared" si="27"/>
        <v>10</v>
      </c>
      <c r="DR57" s="30">
        <f t="shared" si="27"/>
        <v>10</v>
      </c>
      <c r="DS57" s="30">
        <f t="shared" si="27"/>
        <v>10</v>
      </c>
      <c r="DT57" s="30">
        <f t="shared" si="27"/>
        <v>11</v>
      </c>
      <c r="DU57" s="30">
        <f t="shared" si="27"/>
        <v>11</v>
      </c>
      <c r="DV57" s="30">
        <f t="shared" si="27"/>
        <v>11</v>
      </c>
      <c r="DW57" s="30">
        <f t="shared" si="27"/>
        <v>11</v>
      </c>
      <c r="DX57" s="30">
        <f t="shared" si="27"/>
        <v>11</v>
      </c>
      <c r="DY57" s="30">
        <f t="shared" si="27"/>
        <v>11</v>
      </c>
      <c r="DZ57" s="30">
        <f t="shared" si="27"/>
        <v>11</v>
      </c>
      <c r="EA57" s="30">
        <f t="shared" si="27"/>
        <v>11</v>
      </c>
      <c r="EB57" s="30">
        <f t="shared" si="27"/>
        <v>11</v>
      </c>
      <c r="EC57" s="30">
        <f t="shared" ref="EC57:GA57" si="28">ROUNDUP(EC56/12,0)</f>
        <v>11</v>
      </c>
      <c r="ED57" s="30">
        <f t="shared" si="28"/>
        <v>11</v>
      </c>
      <c r="EE57" s="30">
        <f t="shared" si="28"/>
        <v>11</v>
      </c>
      <c r="EF57" s="30">
        <f t="shared" si="28"/>
        <v>12</v>
      </c>
      <c r="EG57" s="30">
        <f t="shared" si="28"/>
        <v>12</v>
      </c>
      <c r="EH57" s="30">
        <f t="shared" si="28"/>
        <v>12</v>
      </c>
      <c r="EI57" s="30">
        <f t="shared" si="28"/>
        <v>12</v>
      </c>
      <c r="EJ57" s="30">
        <f t="shared" si="28"/>
        <v>12</v>
      </c>
      <c r="EK57" s="30">
        <f t="shared" si="28"/>
        <v>12</v>
      </c>
      <c r="EL57" s="30">
        <f t="shared" si="28"/>
        <v>12</v>
      </c>
      <c r="EM57" s="30">
        <f t="shared" si="28"/>
        <v>12</v>
      </c>
      <c r="EN57" s="30">
        <f t="shared" si="28"/>
        <v>12</v>
      </c>
      <c r="EO57" s="30">
        <f t="shared" si="28"/>
        <v>12</v>
      </c>
      <c r="EP57" s="30">
        <f t="shared" si="28"/>
        <v>12</v>
      </c>
      <c r="EQ57" s="30">
        <f t="shared" si="28"/>
        <v>12</v>
      </c>
      <c r="ER57" s="30">
        <f t="shared" si="28"/>
        <v>13</v>
      </c>
      <c r="ES57" s="30">
        <f t="shared" si="28"/>
        <v>13</v>
      </c>
      <c r="ET57" s="30">
        <f t="shared" si="28"/>
        <v>13</v>
      </c>
      <c r="EU57" s="30">
        <f t="shared" si="28"/>
        <v>13</v>
      </c>
      <c r="EV57" s="30">
        <f t="shared" si="28"/>
        <v>13</v>
      </c>
      <c r="EW57" s="30">
        <f t="shared" si="28"/>
        <v>13</v>
      </c>
      <c r="EX57" s="30">
        <f t="shared" si="28"/>
        <v>13</v>
      </c>
      <c r="EY57" s="30">
        <f t="shared" si="28"/>
        <v>13</v>
      </c>
      <c r="EZ57" s="30">
        <f t="shared" si="28"/>
        <v>13</v>
      </c>
      <c r="FA57" s="30">
        <f t="shared" si="28"/>
        <v>13</v>
      </c>
      <c r="FB57" s="30">
        <f t="shared" si="28"/>
        <v>13</v>
      </c>
      <c r="FC57" s="30">
        <f t="shared" si="28"/>
        <v>13</v>
      </c>
      <c r="FD57" s="30">
        <f t="shared" si="28"/>
        <v>14</v>
      </c>
      <c r="FE57" s="30">
        <f t="shared" si="28"/>
        <v>14</v>
      </c>
      <c r="FF57" s="30">
        <f t="shared" si="28"/>
        <v>14</v>
      </c>
      <c r="FG57" s="30">
        <f t="shared" si="28"/>
        <v>14</v>
      </c>
      <c r="FH57" s="30">
        <f t="shared" si="28"/>
        <v>14</v>
      </c>
      <c r="FI57" s="30">
        <f t="shared" si="28"/>
        <v>14</v>
      </c>
      <c r="FJ57" s="30">
        <f t="shared" si="28"/>
        <v>14</v>
      </c>
      <c r="FK57" s="30">
        <f t="shared" si="28"/>
        <v>14</v>
      </c>
      <c r="FL57" s="30">
        <f t="shared" si="28"/>
        <v>14</v>
      </c>
      <c r="FM57" s="30">
        <f t="shared" si="28"/>
        <v>14</v>
      </c>
      <c r="FN57" s="30">
        <f t="shared" si="28"/>
        <v>14</v>
      </c>
      <c r="FO57" s="30">
        <f t="shared" si="28"/>
        <v>14</v>
      </c>
      <c r="FP57" s="30">
        <f t="shared" si="28"/>
        <v>15</v>
      </c>
      <c r="FQ57" s="30">
        <f t="shared" si="28"/>
        <v>15</v>
      </c>
      <c r="FR57" s="30">
        <f t="shared" si="28"/>
        <v>15</v>
      </c>
      <c r="FS57" s="30">
        <f t="shared" si="28"/>
        <v>15</v>
      </c>
      <c r="FT57" s="30">
        <f t="shared" si="28"/>
        <v>15</v>
      </c>
      <c r="FU57" s="30">
        <f t="shared" si="28"/>
        <v>15</v>
      </c>
      <c r="FV57" s="30">
        <f t="shared" si="28"/>
        <v>15</v>
      </c>
      <c r="FW57" s="30">
        <f t="shared" si="28"/>
        <v>15</v>
      </c>
      <c r="FX57" s="30">
        <f t="shared" si="28"/>
        <v>15</v>
      </c>
      <c r="FY57" s="30">
        <f t="shared" si="28"/>
        <v>15</v>
      </c>
      <c r="FZ57" s="30">
        <f t="shared" si="28"/>
        <v>15</v>
      </c>
      <c r="GA57" s="256">
        <f t="shared" si="28"/>
        <v>15</v>
      </c>
    </row>
    <row r="58" spans="1:183" x14ac:dyDescent="0.15">
      <c r="A58" s="281" t="s">
        <v>300</v>
      </c>
      <c r="C58" s="282">
        <f ca="1">DATE(YEAR(NOW()), MONTH(NOW()) + 1, 1)</f>
        <v>43009</v>
      </c>
      <c r="D58" s="283">
        <f ca="1">EOMONTH(C58,0)+1</f>
        <v>43040</v>
      </c>
      <c r="E58" s="283">
        <f t="shared" ref="E58:BP58" ca="1" si="29">EOMONTH(D58,0)+1</f>
        <v>43070</v>
      </c>
      <c r="F58" s="283">
        <f t="shared" ca="1" si="29"/>
        <v>43101</v>
      </c>
      <c r="G58" s="283">
        <f t="shared" ca="1" si="29"/>
        <v>43132</v>
      </c>
      <c r="H58" s="283">
        <f t="shared" ca="1" si="29"/>
        <v>43160</v>
      </c>
      <c r="I58" s="283">
        <f t="shared" ca="1" si="29"/>
        <v>43191</v>
      </c>
      <c r="J58" s="283">
        <f t="shared" ca="1" si="29"/>
        <v>43221</v>
      </c>
      <c r="K58" s="283">
        <f t="shared" ca="1" si="29"/>
        <v>43252</v>
      </c>
      <c r="L58" s="283">
        <f t="shared" ca="1" si="29"/>
        <v>43282</v>
      </c>
      <c r="M58" s="283">
        <f t="shared" ca="1" si="29"/>
        <v>43313</v>
      </c>
      <c r="N58" s="283">
        <f t="shared" ca="1" si="29"/>
        <v>43344</v>
      </c>
      <c r="O58" s="283">
        <f t="shared" ca="1" si="29"/>
        <v>43374</v>
      </c>
      <c r="P58" s="283">
        <f t="shared" ca="1" si="29"/>
        <v>43405</v>
      </c>
      <c r="Q58" s="283">
        <f t="shared" ca="1" si="29"/>
        <v>43435</v>
      </c>
      <c r="R58" s="283">
        <f t="shared" ca="1" si="29"/>
        <v>43466</v>
      </c>
      <c r="S58" s="283">
        <f t="shared" ca="1" si="29"/>
        <v>43497</v>
      </c>
      <c r="T58" s="283">
        <f t="shared" ca="1" si="29"/>
        <v>43525</v>
      </c>
      <c r="U58" s="283">
        <f t="shared" ca="1" si="29"/>
        <v>43556</v>
      </c>
      <c r="V58" s="283">
        <f t="shared" ca="1" si="29"/>
        <v>43586</v>
      </c>
      <c r="W58" s="283">
        <f t="shared" ca="1" si="29"/>
        <v>43617</v>
      </c>
      <c r="X58" s="283">
        <f t="shared" ca="1" si="29"/>
        <v>43647</v>
      </c>
      <c r="Y58" s="283">
        <f t="shared" ca="1" si="29"/>
        <v>43678</v>
      </c>
      <c r="Z58" s="283">
        <f t="shared" ca="1" si="29"/>
        <v>43709</v>
      </c>
      <c r="AA58" s="283">
        <f t="shared" ca="1" si="29"/>
        <v>43739</v>
      </c>
      <c r="AB58" s="283">
        <f t="shared" ca="1" si="29"/>
        <v>43770</v>
      </c>
      <c r="AC58" s="283">
        <f t="shared" ca="1" si="29"/>
        <v>43800</v>
      </c>
      <c r="AD58" s="283">
        <f t="shared" ca="1" si="29"/>
        <v>43831</v>
      </c>
      <c r="AE58" s="283">
        <f t="shared" ca="1" si="29"/>
        <v>43862</v>
      </c>
      <c r="AF58" s="283">
        <f t="shared" ca="1" si="29"/>
        <v>43891</v>
      </c>
      <c r="AG58" s="283">
        <f t="shared" ca="1" si="29"/>
        <v>43922</v>
      </c>
      <c r="AH58" s="283">
        <f t="shared" ca="1" si="29"/>
        <v>43952</v>
      </c>
      <c r="AI58" s="283">
        <f t="shared" ca="1" si="29"/>
        <v>43983</v>
      </c>
      <c r="AJ58" s="283">
        <f t="shared" ca="1" si="29"/>
        <v>44013</v>
      </c>
      <c r="AK58" s="283">
        <f t="shared" ca="1" si="29"/>
        <v>44044</v>
      </c>
      <c r="AL58" s="283">
        <f t="shared" ca="1" si="29"/>
        <v>44075</v>
      </c>
      <c r="AM58" s="283">
        <f t="shared" ca="1" si="29"/>
        <v>44105</v>
      </c>
      <c r="AN58" s="283">
        <f t="shared" ca="1" si="29"/>
        <v>44136</v>
      </c>
      <c r="AO58" s="283">
        <f t="shared" ca="1" si="29"/>
        <v>44166</v>
      </c>
      <c r="AP58" s="283">
        <f t="shared" ca="1" si="29"/>
        <v>44197</v>
      </c>
      <c r="AQ58" s="283">
        <f t="shared" ca="1" si="29"/>
        <v>44228</v>
      </c>
      <c r="AR58" s="283">
        <f t="shared" ca="1" si="29"/>
        <v>44256</v>
      </c>
      <c r="AS58" s="283">
        <f t="shared" ca="1" si="29"/>
        <v>44287</v>
      </c>
      <c r="AT58" s="283">
        <f t="shared" ca="1" si="29"/>
        <v>44317</v>
      </c>
      <c r="AU58" s="283">
        <f t="shared" ca="1" si="29"/>
        <v>44348</v>
      </c>
      <c r="AV58" s="283">
        <f t="shared" ca="1" si="29"/>
        <v>44378</v>
      </c>
      <c r="AW58" s="283">
        <f t="shared" ca="1" si="29"/>
        <v>44409</v>
      </c>
      <c r="AX58" s="283">
        <f t="shared" ca="1" si="29"/>
        <v>44440</v>
      </c>
      <c r="AY58" s="283">
        <f t="shared" ca="1" si="29"/>
        <v>44470</v>
      </c>
      <c r="AZ58" s="283">
        <f t="shared" ca="1" si="29"/>
        <v>44501</v>
      </c>
      <c r="BA58" s="283">
        <f t="shared" ca="1" si="29"/>
        <v>44531</v>
      </c>
      <c r="BB58" s="283">
        <f t="shared" ca="1" si="29"/>
        <v>44562</v>
      </c>
      <c r="BC58" s="283">
        <f t="shared" ca="1" si="29"/>
        <v>44593</v>
      </c>
      <c r="BD58" s="283">
        <f t="shared" ca="1" si="29"/>
        <v>44621</v>
      </c>
      <c r="BE58" s="283">
        <f t="shared" ca="1" si="29"/>
        <v>44652</v>
      </c>
      <c r="BF58" s="283">
        <f t="shared" ca="1" si="29"/>
        <v>44682</v>
      </c>
      <c r="BG58" s="283">
        <f t="shared" ca="1" si="29"/>
        <v>44713</v>
      </c>
      <c r="BH58" s="283">
        <f t="shared" ca="1" si="29"/>
        <v>44743</v>
      </c>
      <c r="BI58" s="283">
        <f t="shared" ca="1" si="29"/>
        <v>44774</v>
      </c>
      <c r="BJ58" s="283">
        <f t="shared" ca="1" si="29"/>
        <v>44805</v>
      </c>
      <c r="BK58" s="283">
        <f t="shared" ca="1" si="29"/>
        <v>44835</v>
      </c>
      <c r="BL58" s="283">
        <f t="shared" ca="1" si="29"/>
        <v>44866</v>
      </c>
      <c r="BM58" s="283">
        <f t="shared" ca="1" si="29"/>
        <v>44896</v>
      </c>
      <c r="BN58" s="283">
        <f t="shared" ca="1" si="29"/>
        <v>44927</v>
      </c>
      <c r="BO58" s="283">
        <f t="shared" ca="1" si="29"/>
        <v>44958</v>
      </c>
      <c r="BP58" s="283">
        <f t="shared" ca="1" si="29"/>
        <v>44986</v>
      </c>
      <c r="BQ58" s="283">
        <f t="shared" ref="BQ58:EB58" ca="1" si="30">EOMONTH(BP58,0)+1</f>
        <v>45017</v>
      </c>
      <c r="BR58" s="283">
        <f t="shared" ca="1" si="30"/>
        <v>45047</v>
      </c>
      <c r="BS58" s="283">
        <f t="shared" ca="1" si="30"/>
        <v>45078</v>
      </c>
      <c r="BT58" s="283">
        <f t="shared" ca="1" si="30"/>
        <v>45108</v>
      </c>
      <c r="BU58" s="283">
        <f t="shared" ca="1" si="30"/>
        <v>45139</v>
      </c>
      <c r="BV58" s="283">
        <f t="shared" ca="1" si="30"/>
        <v>45170</v>
      </c>
      <c r="BW58" s="283">
        <f t="shared" ca="1" si="30"/>
        <v>45200</v>
      </c>
      <c r="BX58" s="283">
        <f t="shared" ca="1" si="30"/>
        <v>45231</v>
      </c>
      <c r="BY58" s="283">
        <f t="shared" ca="1" si="30"/>
        <v>45261</v>
      </c>
      <c r="BZ58" s="283">
        <f t="shared" ca="1" si="30"/>
        <v>45292</v>
      </c>
      <c r="CA58" s="283">
        <f t="shared" ca="1" si="30"/>
        <v>45323</v>
      </c>
      <c r="CB58" s="283">
        <f t="shared" ca="1" si="30"/>
        <v>45352</v>
      </c>
      <c r="CC58" s="283">
        <f t="shared" ca="1" si="30"/>
        <v>45383</v>
      </c>
      <c r="CD58" s="283">
        <f t="shared" ca="1" si="30"/>
        <v>45413</v>
      </c>
      <c r="CE58" s="283">
        <f t="shared" ca="1" si="30"/>
        <v>45444</v>
      </c>
      <c r="CF58" s="283">
        <f t="shared" ca="1" si="30"/>
        <v>45474</v>
      </c>
      <c r="CG58" s="283">
        <f t="shared" ca="1" si="30"/>
        <v>45505</v>
      </c>
      <c r="CH58" s="283">
        <f t="shared" ca="1" si="30"/>
        <v>45536</v>
      </c>
      <c r="CI58" s="283">
        <f t="shared" ca="1" si="30"/>
        <v>45566</v>
      </c>
      <c r="CJ58" s="283">
        <f t="shared" ca="1" si="30"/>
        <v>45597</v>
      </c>
      <c r="CK58" s="283">
        <f t="shared" ca="1" si="30"/>
        <v>45627</v>
      </c>
      <c r="CL58" s="283">
        <f t="shared" ca="1" si="30"/>
        <v>45658</v>
      </c>
      <c r="CM58" s="283">
        <f t="shared" ca="1" si="30"/>
        <v>45689</v>
      </c>
      <c r="CN58" s="283">
        <f t="shared" ca="1" si="30"/>
        <v>45717</v>
      </c>
      <c r="CO58" s="283">
        <f t="shared" ca="1" si="30"/>
        <v>45748</v>
      </c>
      <c r="CP58" s="283">
        <f t="shared" ca="1" si="30"/>
        <v>45778</v>
      </c>
      <c r="CQ58" s="283">
        <f t="shared" ca="1" si="30"/>
        <v>45809</v>
      </c>
      <c r="CR58" s="283">
        <f t="shared" ca="1" si="30"/>
        <v>45839</v>
      </c>
      <c r="CS58" s="283">
        <f t="shared" ca="1" si="30"/>
        <v>45870</v>
      </c>
      <c r="CT58" s="283">
        <f t="shared" ca="1" si="30"/>
        <v>45901</v>
      </c>
      <c r="CU58" s="283">
        <f t="shared" ca="1" si="30"/>
        <v>45931</v>
      </c>
      <c r="CV58" s="283">
        <f t="shared" ca="1" si="30"/>
        <v>45962</v>
      </c>
      <c r="CW58" s="283">
        <f t="shared" ca="1" si="30"/>
        <v>45992</v>
      </c>
      <c r="CX58" s="283">
        <f t="shared" ca="1" si="30"/>
        <v>46023</v>
      </c>
      <c r="CY58" s="283">
        <f t="shared" ca="1" si="30"/>
        <v>46054</v>
      </c>
      <c r="CZ58" s="283">
        <f t="shared" ca="1" si="30"/>
        <v>46082</v>
      </c>
      <c r="DA58" s="283">
        <f t="shared" ca="1" si="30"/>
        <v>46113</v>
      </c>
      <c r="DB58" s="283">
        <f t="shared" ca="1" si="30"/>
        <v>46143</v>
      </c>
      <c r="DC58" s="283">
        <f t="shared" ca="1" si="30"/>
        <v>46174</v>
      </c>
      <c r="DD58" s="283">
        <f t="shared" ca="1" si="30"/>
        <v>46204</v>
      </c>
      <c r="DE58" s="283">
        <f t="shared" ca="1" si="30"/>
        <v>46235</v>
      </c>
      <c r="DF58" s="283">
        <f t="shared" ca="1" si="30"/>
        <v>46266</v>
      </c>
      <c r="DG58" s="283">
        <f t="shared" ca="1" si="30"/>
        <v>46296</v>
      </c>
      <c r="DH58" s="283">
        <f t="shared" ca="1" si="30"/>
        <v>46327</v>
      </c>
      <c r="DI58" s="283">
        <f t="shared" ca="1" si="30"/>
        <v>46357</v>
      </c>
      <c r="DJ58" s="283">
        <f t="shared" ca="1" si="30"/>
        <v>46388</v>
      </c>
      <c r="DK58" s="283">
        <f t="shared" ca="1" si="30"/>
        <v>46419</v>
      </c>
      <c r="DL58" s="283">
        <f t="shared" ca="1" si="30"/>
        <v>46447</v>
      </c>
      <c r="DM58" s="283">
        <f t="shared" ca="1" si="30"/>
        <v>46478</v>
      </c>
      <c r="DN58" s="283">
        <f t="shared" ca="1" si="30"/>
        <v>46508</v>
      </c>
      <c r="DO58" s="283">
        <f t="shared" ca="1" si="30"/>
        <v>46539</v>
      </c>
      <c r="DP58" s="283">
        <f t="shared" ca="1" si="30"/>
        <v>46569</v>
      </c>
      <c r="DQ58" s="283">
        <f t="shared" ca="1" si="30"/>
        <v>46600</v>
      </c>
      <c r="DR58" s="283">
        <f t="shared" ca="1" si="30"/>
        <v>46631</v>
      </c>
      <c r="DS58" s="283">
        <f t="shared" ca="1" si="30"/>
        <v>46661</v>
      </c>
      <c r="DT58" s="283">
        <f t="shared" ca="1" si="30"/>
        <v>46692</v>
      </c>
      <c r="DU58" s="283">
        <f t="shared" ca="1" si="30"/>
        <v>46722</v>
      </c>
      <c r="DV58" s="283">
        <f t="shared" ca="1" si="30"/>
        <v>46753</v>
      </c>
      <c r="DW58" s="283">
        <f t="shared" ca="1" si="30"/>
        <v>46784</v>
      </c>
      <c r="DX58" s="283">
        <f t="shared" ca="1" si="30"/>
        <v>46813</v>
      </c>
      <c r="DY58" s="283">
        <f t="shared" ca="1" si="30"/>
        <v>46844</v>
      </c>
      <c r="DZ58" s="283">
        <f t="shared" ca="1" si="30"/>
        <v>46874</v>
      </c>
      <c r="EA58" s="283">
        <f t="shared" ca="1" si="30"/>
        <v>46905</v>
      </c>
      <c r="EB58" s="283">
        <f t="shared" ca="1" si="30"/>
        <v>46935</v>
      </c>
      <c r="EC58" s="283">
        <f t="shared" ref="EC58:GA58" ca="1" si="31">EOMONTH(EB58,0)+1</f>
        <v>46966</v>
      </c>
      <c r="ED58" s="283">
        <f t="shared" ca="1" si="31"/>
        <v>46997</v>
      </c>
      <c r="EE58" s="283">
        <f t="shared" ca="1" si="31"/>
        <v>47027</v>
      </c>
      <c r="EF58" s="283">
        <f t="shared" ca="1" si="31"/>
        <v>47058</v>
      </c>
      <c r="EG58" s="283">
        <f t="shared" ca="1" si="31"/>
        <v>47088</v>
      </c>
      <c r="EH58" s="283">
        <f t="shared" ca="1" si="31"/>
        <v>47119</v>
      </c>
      <c r="EI58" s="283">
        <f t="shared" ca="1" si="31"/>
        <v>47150</v>
      </c>
      <c r="EJ58" s="283">
        <f t="shared" ca="1" si="31"/>
        <v>47178</v>
      </c>
      <c r="EK58" s="283">
        <f t="shared" ca="1" si="31"/>
        <v>47209</v>
      </c>
      <c r="EL58" s="283">
        <f t="shared" ca="1" si="31"/>
        <v>47239</v>
      </c>
      <c r="EM58" s="283">
        <f t="shared" ca="1" si="31"/>
        <v>47270</v>
      </c>
      <c r="EN58" s="283">
        <f t="shared" ca="1" si="31"/>
        <v>47300</v>
      </c>
      <c r="EO58" s="283">
        <f t="shared" ca="1" si="31"/>
        <v>47331</v>
      </c>
      <c r="EP58" s="283">
        <f t="shared" ca="1" si="31"/>
        <v>47362</v>
      </c>
      <c r="EQ58" s="283">
        <f t="shared" ca="1" si="31"/>
        <v>47392</v>
      </c>
      <c r="ER58" s="283">
        <f t="shared" ca="1" si="31"/>
        <v>47423</v>
      </c>
      <c r="ES58" s="283">
        <f t="shared" ca="1" si="31"/>
        <v>47453</v>
      </c>
      <c r="ET58" s="283">
        <f t="shared" ca="1" si="31"/>
        <v>47484</v>
      </c>
      <c r="EU58" s="283">
        <f t="shared" ca="1" si="31"/>
        <v>47515</v>
      </c>
      <c r="EV58" s="283">
        <f t="shared" ca="1" si="31"/>
        <v>47543</v>
      </c>
      <c r="EW58" s="283">
        <f t="shared" ca="1" si="31"/>
        <v>47574</v>
      </c>
      <c r="EX58" s="283">
        <f t="shared" ca="1" si="31"/>
        <v>47604</v>
      </c>
      <c r="EY58" s="283">
        <f t="shared" ca="1" si="31"/>
        <v>47635</v>
      </c>
      <c r="EZ58" s="283">
        <f t="shared" ca="1" si="31"/>
        <v>47665</v>
      </c>
      <c r="FA58" s="283">
        <f t="shared" ca="1" si="31"/>
        <v>47696</v>
      </c>
      <c r="FB58" s="283">
        <f t="shared" ca="1" si="31"/>
        <v>47727</v>
      </c>
      <c r="FC58" s="283">
        <f t="shared" ca="1" si="31"/>
        <v>47757</v>
      </c>
      <c r="FD58" s="283">
        <f t="shared" ca="1" si="31"/>
        <v>47788</v>
      </c>
      <c r="FE58" s="283">
        <f t="shared" ca="1" si="31"/>
        <v>47818</v>
      </c>
      <c r="FF58" s="283">
        <f t="shared" ca="1" si="31"/>
        <v>47849</v>
      </c>
      <c r="FG58" s="283">
        <f t="shared" ca="1" si="31"/>
        <v>47880</v>
      </c>
      <c r="FH58" s="283">
        <f t="shared" ca="1" si="31"/>
        <v>47908</v>
      </c>
      <c r="FI58" s="283">
        <f t="shared" ca="1" si="31"/>
        <v>47939</v>
      </c>
      <c r="FJ58" s="283">
        <f t="shared" ca="1" si="31"/>
        <v>47969</v>
      </c>
      <c r="FK58" s="283">
        <f t="shared" ca="1" si="31"/>
        <v>48000</v>
      </c>
      <c r="FL58" s="283">
        <f t="shared" ca="1" si="31"/>
        <v>48030</v>
      </c>
      <c r="FM58" s="283">
        <f t="shared" ca="1" si="31"/>
        <v>48061</v>
      </c>
      <c r="FN58" s="283">
        <f t="shared" ca="1" si="31"/>
        <v>48092</v>
      </c>
      <c r="FO58" s="283">
        <f t="shared" ca="1" si="31"/>
        <v>48122</v>
      </c>
      <c r="FP58" s="283">
        <f t="shared" ca="1" si="31"/>
        <v>48153</v>
      </c>
      <c r="FQ58" s="283">
        <f t="shared" ca="1" si="31"/>
        <v>48183</v>
      </c>
      <c r="FR58" s="283">
        <f t="shared" ca="1" si="31"/>
        <v>48214</v>
      </c>
      <c r="FS58" s="283">
        <f t="shared" ca="1" si="31"/>
        <v>48245</v>
      </c>
      <c r="FT58" s="283">
        <f t="shared" ca="1" si="31"/>
        <v>48274</v>
      </c>
      <c r="FU58" s="283">
        <f t="shared" ca="1" si="31"/>
        <v>48305</v>
      </c>
      <c r="FV58" s="283">
        <f t="shared" ca="1" si="31"/>
        <v>48335</v>
      </c>
      <c r="FW58" s="283">
        <f t="shared" ca="1" si="31"/>
        <v>48366</v>
      </c>
      <c r="FX58" s="283">
        <f t="shared" ca="1" si="31"/>
        <v>48396</v>
      </c>
      <c r="FY58" s="283">
        <f t="shared" ca="1" si="31"/>
        <v>48427</v>
      </c>
      <c r="FZ58" s="283">
        <f t="shared" ca="1" si="31"/>
        <v>48458</v>
      </c>
      <c r="GA58" s="284">
        <f t="shared" ca="1" si="31"/>
        <v>48488</v>
      </c>
    </row>
    <row r="59" spans="1:183" x14ac:dyDescent="0.15">
      <c r="A59" s="331"/>
      <c r="B59" s="30"/>
      <c r="C59" s="332"/>
      <c r="D59" s="285"/>
      <c r="E59" s="285"/>
      <c r="F59" s="285"/>
      <c r="G59" s="285"/>
      <c r="H59" s="285"/>
      <c r="I59" s="285"/>
      <c r="J59" s="285"/>
      <c r="K59" s="285"/>
      <c r="L59" s="285"/>
      <c r="M59" s="285"/>
      <c r="N59" s="285"/>
      <c r="O59" s="285"/>
      <c r="P59" s="285"/>
      <c r="Q59" s="285"/>
      <c r="R59" s="285"/>
      <c r="S59" s="285"/>
      <c r="T59" s="285"/>
      <c r="U59" s="285"/>
      <c r="V59" s="285"/>
      <c r="W59" s="285"/>
      <c r="X59" s="285"/>
      <c r="Y59" s="285"/>
      <c r="Z59" s="285"/>
      <c r="AA59" s="285"/>
      <c r="AB59" s="285"/>
      <c r="AC59" s="285"/>
      <c r="AD59" s="285"/>
      <c r="AE59" s="285"/>
      <c r="AF59" s="285"/>
      <c r="AG59" s="285"/>
      <c r="AH59" s="285"/>
      <c r="AI59" s="285"/>
      <c r="AJ59" s="285"/>
      <c r="AK59" s="285"/>
      <c r="AL59" s="285"/>
      <c r="AM59" s="285"/>
      <c r="AN59" s="285"/>
      <c r="AO59" s="285"/>
      <c r="AP59" s="285"/>
      <c r="AQ59" s="285"/>
      <c r="AR59" s="285"/>
      <c r="AS59" s="285"/>
      <c r="AT59" s="285"/>
      <c r="AU59" s="285"/>
      <c r="AV59" s="285"/>
      <c r="AW59" s="285"/>
      <c r="AX59" s="285"/>
      <c r="AY59" s="285"/>
      <c r="AZ59" s="285"/>
      <c r="BA59" s="285"/>
      <c r="BB59" s="285"/>
      <c r="BC59" s="285"/>
      <c r="BD59" s="285"/>
      <c r="BE59" s="285"/>
      <c r="BF59" s="285"/>
      <c r="BG59" s="285"/>
      <c r="BH59" s="285"/>
      <c r="BI59" s="285"/>
      <c r="BJ59" s="285"/>
      <c r="BK59" s="285"/>
      <c r="BL59" s="285"/>
      <c r="BM59" s="285"/>
      <c r="BN59" s="285"/>
      <c r="BO59" s="285"/>
      <c r="BP59" s="285"/>
      <c r="BQ59" s="285"/>
      <c r="BR59" s="285"/>
      <c r="BS59" s="285"/>
      <c r="BT59" s="285"/>
      <c r="BU59" s="285"/>
      <c r="BV59" s="285"/>
      <c r="BW59" s="285"/>
      <c r="BX59" s="285"/>
      <c r="BY59" s="285"/>
      <c r="BZ59" s="285"/>
      <c r="CA59" s="285"/>
      <c r="CB59" s="285"/>
      <c r="CC59" s="285"/>
      <c r="CD59" s="285"/>
      <c r="CE59" s="285"/>
      <c r="CF59" s="285"/>
      <c r="CG59" s="285"/>
      <c r="CH59" s="285"/>
      <c r="CI59" s="285"/>
      <c r="CJ59" s="285"/>
      <c r="CK59" s="285"/>
      <c r="CL59" s="285"/>
      <c r="CM59" s="285"/>
      <c r="CN59" s="285"/>
      <c r="CO59" s="285"/>
      <c r="CP59" s="285"/>
      <c r="CQ59" s="285"/>
      <c r="CR59" s="285"/>
      <c r="CS59" s="285"/>
      <c r="CT59" s="285"/>
      <c r="CU59" s="285"/>
      <c r="CV59" s="285"/>
      <c r="CW59" s="285"/>
      <c r="CX59" s="285"/>
      <c r="CY59" s="285"/>
      <c r="CZ59" s="285"/>
      <c r="DA59" s="285"/>
      <c r="DB59" s="285"/>
      <c r="DC59" s="285"/>
      <c r="DD59" s="285"/>
      <c r="DE59" s="285"/>
      <c r="DF59" s="285"/>
      <c r="DG59" s="285"/>
      <c r="DH59" s="285"/>
      <c r="DI59" s="285"/>
      <c r="DJ59" s="285"/>
      <c r="DK59" s="285"/>
      <c r="DL59" s="285"/>
      <c r="DM59" s="285"/>
      <c r="DN59" s="285"/>
      <c r="DO59" s="285"/>
      <c r="DP59" s="285"/>
      <c r="DQ59" s="285"/>
      <c r="DR59" s="285"/>
      <c r="DS59" s="285"/>
      <c r="DT59" s="285"/>
      <c r="DU59" s="285"/>
      <c r="DV59" s="285"/>
      <c r="DW59" s="285"/>
      <c r="DX59" s="285"/>
      <c r="DY59" s="285"/>
      <c r="DZ59" s="285"/>
      <c r="EA59" s="285"/>
      <c r="EB59" s="285"/>
      <c r="EC59" s="285"/>
      <c r="ED59" s="285"/>
      <c r="EE59" s="285"/>
      <c r="EF59" s="285"/>
      <c r="EG59" s="285"/>
      <c r="EH59" s="285"/>
      <c r="EI59" s="285"/>
      <c r="EJ59" s="285"/>
      <c r="EK59" s="285"/>
      <c r="EL59" s="285"/>
      <c r="EM59" s="285"/>
      <c r="EN59" s="285"/>
      <c r="EO59" s="285"/>
      <c r="EP59" s="285"/>
      <c r="EQ59" s="285"/>
      <c r="ER59" s="285"/>
      <c r="ES59" s="285"/>
      <c r="ET59" s="285"/>
      <c r="EU59" s="285"/>
      <c r="EV59" s="285"/>
      <c r="EW59" s="285"/>
      <c r="EX59" s="285"/>
      <c r="EY59" s="285"/>
      <c r="EZ59" s="285"/>
      <c r="FA59" s="285"/>
      <c r="FB59" s="285"/>
      <c r="FC59" s="285"/>
      <c r="FD59" s="285"/>
      <c r="FE59" s="285"/>
      <c r="FF59" s="285"/>
      <c r="FG59" s="285"/>
      <c r="FH59" s="285"/>
      <c r="FI59" s="285"/>
      <c r="FJ59" s="285"/>
      <c r="FK59" s="285"/>
      <c r="FL59" s="285"/>
      <c r="FM59" s="285"/>
      <c r="FN59" s="285"/>
      <c r="FO59" s="285"/>
      <c r="FP59" s="285"/>
      <c r="FQ59" s="285"/>
      <c r="FR59" s="285"/>
      <c r="FS59" s="285"/>
      <c r="FT59" s="285"/>
      <c r="FU59" s="285"/>
      <c r="FV59" s="285"/>
      <c r="FW59" s="285"/>
      <c r="FX59" s="285"/>
      <c r="FY59" s="285"/>
      <c r="FZ59" s="285"/>
      <c r="GA59" s="285"/>
    </row>
    <row r="60" spans="1:183" x14ac:dyDescent="0.15">
      <c r="A60" s="546" t="s">
        <v>833</v>
      </c>
      <c r="C60" s="539">
        <v>0</v>
      </c>
      <c r="D60" s="540">
        <f>INDEX($D$52:$R$52,1,MATCH(D$57,$D$43:$R$43,0))/12</f>
        <v>1943.663042983809</v>
      </c>
      <c r="E60" s="540">
        <f t="shared" ref="E60:BP60" si="32">INDEX($D$52:$R$52,1,MATCH(E$57,$D$43:$R$43,0))/12</f>
        <v>1943.663042983809</v>
      </c>
      <c r="F60" s="540">
        <f t="shared" si="32"/>
        <v>1943.663042983809</v>
      </c>
      <c r="G60" s="540">
        <f t="shared" si="32"/>
        <v>1943.663042983809</v>
      </c>
      <c r="H60" s="540">
        <f t="shared" si="32"/>
        <v>1943.663042983809</v>
      </c>
      <c r="I60" s="540">
        <f t="shared" si="32"/>
        <v>1943.663042983809</v>
      </c>
      <c r="J60" s="540">
        <f t="shared" si="32"/>
        <v>1943.663042983809</v>
      </c>
      <c r="K60" s="540">
        <f t="shared" si="32"/>
        <v>1943.663042983809</v>
      </c>
      <c r="L60" s="540">
        <f t="shared" si="32"/>
        <v>1943.663042983809</v>
      </c>
      <c r="M60" s="540">
        <f t="shared" si="32"/>
        <v>1943.663042983809</v>
      </c>
      <c r="N60" s="540">
        <f t="shared" si="32"/>
        <v>1943.663042983809</v>
      </c>
      <c r="O60" s="540">
        <f t="shared" si="32"/>
        <v>1943.663042983809</v>
      </c>
      <c r="P60" s="540">
        <f t="shared" si="32"/>
        <v>2011.2037494882422</v>
      </c>
      <c r="Q60" s="540">
        <f t="shared" si="32"/>
        <v>2011.2037494882422</v>
      </c>
      <c r="R60" s="540">
        <f t="shared" si="32"/>
        <v>2011.2037494882422</v>
      </c>
      <c r="S60" s="540">
        <f t="shared" si="32"/>
        <v>2011.2037494882422</v>
      </c>
      <c r="T60" s="540">
        <f t="shared" si="32"/>
        <v>2011.2037494882422</v>
      </c>
      <c r="U60" s="540">
        <f t="shared" si="32"/>
        <v>2011.2037494882422</v>
      </c>
      <c r="V60" s="540">
        <f t="shared" si="32"/>
        <v>2011.2037494882422</v>
      </c>
      <c r="W60" s="540">
        <f t="shared" si="32"/>
        <v>2011.2037494882422</v>
      </c>
      <c r="X60" s="540">
        <f t="shared" si="32"/>
        <v>2011.2037494882422</v>
      </c>
      <c r="Y60" s="540">
        <f t="shared" si="32"/>
        <v>2011.2037494882422</v>
      </c>
      <c r="Z60" s="540">
        <f t="shared" si="32"/>
        <v>2011.2037494882422</v>
      </c>
      <c r="AA60" s="540">
        <f t="shared" si="32"/>
        <v>2011.2037494882422</v>
      </c>
      <c r="AB60" s="540">
        <f t="shared" si="32"/>
        <v>2081.0888807203305</v>
      </c>
      <c r="AC60" s="540">
        <f t="shared" si="32"/>
        <v>2081.0888807203305</v>
      </c>
      <c r="AD60" s="540">
        <f t="shared" si="32"/>
        <v>2081.0888807203305</v>
      </c>
      <c r="AE60" s="540">
        <f t="shared" si="32"/>
        <v>2081.0888807203305</v>
      </c>
      <c r="AF60" s="540">
        <f t="shared" si="32"/>
        <v>2081.0888807203305</v>
      </c>
      <c r="AG60" s="540">
        <f t="shared" si="32"/>
        <v>2081.0888807203305</v>
      </c>
      <c r="AH60" s="540">
        <f t="shared" si="32"/>
        <v>2081.0888807203305</v>
      </c>
      <c r="AI60" s="540">
        <f t="shared" si="32"/>
        <v>2081.0888807203305</v>
      </c>
      <c r="AJ60" s="540">
        <f t="shared" si="32"/>
        <v>2081.0888807203305</v>
      </c>
      <c r="AK60" s="540">
        <f t="shared" si="32"/>
        <v>2081.0888807203305</v>
      </c>
      <c r="AL60" s="540">
        <f t="shared" si="32"/>
        <v>2081.0888807203305</v>
      </c>
      <c r="AM60" s="540">
        <f t="shared" si="32"/>
        <v>2081.0888807203305</v>
      </c>
      <c r="AN60" s="540">
        <f t="shared" si="32"/>
        <v>2153.3997115455418</v>
      </c>
      <c r="AO60" s="540">
        <f t="shared" si="32"/>
        <v>2153.3997115455418</v>
      </c>
      <c r="AP60" s="540">
        <f t="shared" si="32"/>
        <v>2153.3997115455418</v>
      </c>
      <c r="AQ60" s="540">
        <f t="shared" si="32"/>
        <v>2153.3997115455418</v>
      </c>
      <c r="AR60" s="540">
        <f t="shared" si="32"/>
        <v>2153.3997115455418</v>
      </c>
      <c r="AS60" s="540">
        <f t="shared" si="32"/>
        <v>2153.3997115455418</v>
      </c>
      <c r="AT60" s="540">
        <f t="shared" si="32"/>
        <v>2153.3997115455418</v>
      </c>
      <c r="AU60" s="540">
        <f t="shared" si="32"/>
        <v>2153.3997115455418</v>
      </c>
      <c r="AV60" s="540">
        <f t="shared" si="32"/>
        <v>2153.3997115455418</v>
      </c>
      <c r="AW60" s="540">
        <f t="shared" si="32"/>
        <v>2153.3997115455418</v>
      </c>
      <c r="AX60" s="540">
        <f t="shared" si="32"/>
        <v>2153.3997115455418</v>
      </c>
      <c r="AY60" s="540">
        <f t="shared" si="32"/>
        <v>2153.3997115455418</v>
      </c>
      <c r="AZ60" s="540">
        <f t="shared" si="32"/>
        <v>2228.2203302496359</v>
      </c>
      <c r="BA60" s="540">
        <f t="shared" si="32"/>
        <v>2228.2203302496359</v>
      </c>
      <c r="BB60" s="540">
        <f t="shared" si="32"/>
        <v>2228.2203302496359</v>
      </c>
      <c r="BC60" s="540">
        <f t="shared" si="32"/>
        <v>2228.2203302496359</v>
      </c>
      <c r="BD60" s="540">
        <f t="shared" si="32"/>
        <v>2228.2203302496359</v>
      </c>
      <c r="BE60" s="540">
        <f t="shared" si="32"/>
        <v>2228.2203302496359</v>
      </c>
      <c r="BF60" s="540">
        <f t="shared" si="32"/>
        <v>2228.2203302496359</v>
      </c>
      <c r="BG60" s="540">
        <f t="shared" si="32"/>
        <v>2228.2203302496359</v>
      </c>
      <c r="BH60" s="540">
        <f t="shared" si="32"/>
        <v>2228.2203302496359</v>
      </c>
      <c r="BI60" s="540">
        <f t="shared" si="32"/>
        <v>2228.2203302496359</v>
      </c>
      <c r="BJ60" s="540">
        <f t="shared" si="32"/>
        <v>2228.2203302496359</v>
      </c>
      <c r="BK60" s="540">
        <f t="shared" si="32"/>
        <v>2228.2203302496359</v>
      </c>
      <c r="BL60" s="540">
        <f t="shared" si="32"/>
        <v>2305.6377357603728</v>
      </c>
      <c r="BM60" s="540">
        <f t="shared" si="32"/>
        <v>2305.6377357603728</v>
      </c>
      <c r="BN60" s="540">
        <f t="shared" si="32"/>
        <v>2305.6377357603728</v>
      </c>
      <c r="BO60" s="540">
        <f t="shared" si="32"/>
        <v>2305.6377357603728</v>
      </c>
      <c r="BP60" s="540">
        <f t="shared" si="32"/>
        <v>2305.6377357603728</v>
      </c>
      <c r="BQ60" s="540">
        <f t="shared" ref="BQ60:EB60" si="33">INDEX($D$52:$R$52,1,MATCH(BQ$57,$D$43:$R$43,0))/12</f>
        <v>2305.6377357603728</v>
      </c>
      <c r="BR60" s="540">
        <f t="shared" si="33"/>
        <v>2305.6377357603728</v>
      </c>
      <c r="BS60" s="540">
        <f t="shared" si="33"/>
        <v>2305.6377357603728</v>
      </c>
      <c r="BT60" s="540">
        <f t="shared" si="33"/>
        <v>2305.6377357603728</v>
      </c>
      <c r="BU60" s="540">
        <f t="shared" si="33"/>
        <v>2305.6377357603728</v>
      </c>
      <c r="BV60" s="540">
        <f t="shared" si="33"/>
        <v>2305.6377357603728</v>
      </c>
      <c r="BW60" s="540">
        <f t="shared" si="33"/>
        <v>2305.6377357603728</v>
      </c>
      <c r="BX60" s="540">
        <f t="shared" si="33"/>
        <v>2385.7419382220655</v>
      </c>
      <c r="BY60" s="540">
        <f t="shared" si="33"/>
        <v>2385.7419382220655</v>
      </c>
      <c r="BZ60" s="540">
        <f t="shared" si="33"/>
        <v>2385.7419382220655</v>
      </c>
      <c r="CA60" s="540">
        <f t="shared" si="33"/>
        <v>2385.7419382220655</v>
      </c>
      <c r="CB60" s="540">
        <f t="shared" si="33"/>
        <v>2385.7419382220655</v>
      </c>
      <c r="CC60" s="540">
        <f t="shared" si="33"/>
        <v>2385.7419382220655</v>
      </c>
      <c r="CD60" s="540">
        <f t="shared" si="33"/>
        <v>2385.7419382220655</v>
      </c>
      <c r="CE60" s="540">
        <f t="shared" si="33"/>
        <v>2385.7419382220655</v>
      </c>
      <c r="CF60" s="540">
        <f t="shared" si="33"/>
        <v>2385.7419382220655</v>
      </c>
      <c r="CG60" s="540">
        <f t="shared" si="33"/>
        <v>2385.7419382220655</v>
      </c>
      <c r="CH60" s="540">
        <f t="shared" si="33"/>
        <v>2385.7419382220655</v>
      </c>
      <c r="CI60" s="540">
        <f t="shared" si="33"/>
        <v>2385.7419382220655</v>
      </c>
      <c r="CJ60" s="540">
        <f t="shared" si="33"/>
        <v>2468.6260630383208</v>
      </c>
      <c r="CK60" s="540">
        <f t="shared" si="33"/>
        <v>2468.6260630383208</v>
      </c>
      <c r="CL60" s="540">
        <f t="shared" si="33"/>
        <v>2468.6260630383208</v>
      </c>
      <c r="CM60" s="540">
        <f t="shared" si="33"/>
        <v>2468.6260630383208</v>
      </c>
      <c r="CN60" s="540">
        <f t="shared" si="33"/>
        <v>2468.6260630383208</v>
      </c>
      <c r="CO60" s="540">
        <f t="shared" si="33"/>
        <v>2468.6260630383208</v>
      </c>
      <c r="CP60" s="540">
        <f t="shared" si="33"/>
        <v>2468.6260630383208</v>
      </c>
      <c r="CQ60" s="540">
        <f t="shared" si="33"/>
        <v>2468.6260630383208</v>
      </c>
      <c r="CR60" s="540">
        <f t="shared" si="33"/>
        <v>2468.6260630383208</v>
      </c>
      <c r="CS60" s="540">
        <f t="shared" si="33"/>
        <v>2468.6260630383208</v>
      </c>
      <c r="CT60" s="540">
        <f t="shared" si="33"/>
        <v>2468.6260630383208</v>
      </c>
      <c r="CU60" s="540">
        <f t="shared" si="33"/>
        <v>2468.6260630383208</v>
      </c>
      <c r="CV60" s="540">
        <f t="shared" si="33"/>
        <v>2554.3864585022843</v>
      </c>
      <c r="CW60" s="540">
        <f t="shared" si="33"/>
        <v>2554.3864585022843</v>
      </c>
      <c r="CX60" s="540">
        <f t="shared" si="33"/>
        <v>2554.3864585022843</v>
      </c>
      <c r="CY60" s="540">
        <f t="shared" si="33"/>
        <v>2554.3864585022843</v>
      </c>
      <c r="CZ60" s="540">
        <f t="shared" si="33"/>
        <v>2554.3864585022843</v>
      </c>
      <c r="DA60" s="540">
        <f t="shared" si="33"/>
        <v>2554.3864585022843</v>
      </c>
      <c r="DB60" s="540">
        <f t="shared" si="33"/>
        <v>2554.3864585022843</v>
      </c>
      <c r="DC60" s="540">
        <f t="shared" si="33"/>
        <v>2554.3864585022843</v>
      </c>
      <c r="DD60" s="540">
        <f t="shared" si="33"/>
        <v>2554.3864585022843</v>
      </c>
      <c r="DE60" s="540">
        <f t="shared" si="33"/>
        <v>2554.3864585022843</v>
      </c>
      <c r="DF60" s="540">
        <f t="shared" si="33"/>
        <v>2554.3864585022843</v>
      </c>
      <c r="DG60" s="540">
        <f t="shared" si="33"/>
        <v>2554.3864585022843</v>
      </c>
      <c r="DH60" s="540">
        <f t="shared" si="33"/>
        <v>2643.1228071377914</v>
      </c>
      <c r="DI60" s="540">
        <f t="shared" si="33"/>
        <v>2643.1228071377914</v>
      </c>
      <c r="DJ60" s="540">
        <f t="shared" si="33"/>
        <v>2643.1228071377914</v>
      </c>
      <c r="DK60" s="540">
        <f t="shared" si="33"/>
        <v>2643.1228071377914</v>
      </c>
      <c r="DL60" s="540">
        <f t="shared" si="33"/>
        <v>2643.1228071377914</v>
      </c>
      <c r="DM60" s="540">
        <f t="shared" si="33"/>
        <v>2643.1228071377914</v>
      </c>
      <c r="DN60" s="540">
        <f t="shared" si="33"/>
        <v>2643.1228071377914</v>
      </c>
      <c r="DO60" s="540">
        <f t="shared" si="33"/>
        <v>2643.1228071377914</v>
      </c>
      <c r="DP60" s="540">
        <f t="shared" si="33"/>
        <v>2643.1228071377914</v>
      </c>
      <c r="DQ60" s="540">
        <f t="shared" si="33"/>
        <v>2643.1228071377914</v>
      </c>
      <c r="DR60" s="540">
        <f t="shared" si="33"/>
        <v>2643.1228071377914</v>
      </c>
      <c r="DS60" s="540">
        <f t="shared" si="33"/>
        <v>2643.1228071377914</v>
      </c>
      <c r="DT60" s="540">
        <f t="shared" si="33"/>
        <v>2734.9382408790584</v>
      </c>
      <c r="DU60" s="540">
        <f t="shared" si="33"/>
        <v>2734.9382408790584</v>
      </c>
      <c r="DV60" s="540">
        <f t="shared" si="33"/>
        <v>2734.9382408790584</v>
      </c>
      <c r="DW60" s="540">
        <f t="shared" si="33"/>
        <v>2734.9382408790584</v>
      </c>
      <c r="DX60" s="540">
        <f t="shared" si="33"/>
        <v>2734.9382408790584</v>
      </c>
      <c r="DY60" s="540">
        <f t="shared" si="33"/>
        <v>2734.9382408790584</v>
      </c>
      <c r="DZ60" s="540">
        <f t="shared" si="33"/>
        <v>2734.9382408790584</v>
      </c>
      <c r="EA60" s="540">
        <f t="shared" si="33"/>
        <v>2734.9382408790584</v>
      </c>
      <c r="EB60" s="540">
        <f t="shared" si="33"/>
        <v>2734.9382408790584</v>
      </c>
      <c r="EC60" s="540">
        <f t="shared" ref="EC60:GA60" si="34">INDEX($D$52:$R$52,1,MATCH(EC$57,$D$43:$R$43,0))/12</f>
        <v>2734.9382408790584</v>
      </c>
      <c r="ED60" s="540">
        <f t="shared" si="34"/>
        <v>2734.9382408790584</v>
      </c>
      <c r="EE60" s="540">
        <f t="shared" si="34"/>
        <v>2734.9382408790584</v>
      </c>
      <c r="EF60" s="540">
        <f t="shared" si="34"/>
        <v>836.35884323616972</v>
      </c>
      <c r="EG60" s="540">
        <f t="shared" si="34"/>
        <v>836.35884323616972</v>
      </c>
      <c r="EH60" s="540">
        <f t="shared" si="34"/>
        <v>836.35884323616972</v>
      </c>
      <c r="EI60" s="540">
        <f t="shared" si="34"/>
        <v>836.35884323616972</v>
      </c>
      <c r="EJ60" s="540">
        <f t="shared" si="34"/>
        <v>836.35884323616972</v>
      </c>
      <c r="EK60" s="540">
        <f t="shared" si="34"/>
        <v>836.35884323616972</v>
      </c>
      <c r="EL60" s="540">
        <f t="shared" si="34"/>
        <v>836.35884323616972</v>
      </c>
      <c r="EM60" s="540">
        <f t="shared" si="34"/>
        <v>836.35884323616972</v>
      </c>
      <c r="EN60" s="540">
        <f t="shared" si="34"/>
        <v>836.35884323616972</v>
      </c>
      <c r="EO60" s="540">
        <f t="shared" si="34"/>
        <v>836.35884323616972</v>
      </c>
      <c r="EP60" s="540">
        <f t="shared" si="34"/>
        <v>836.35884323616972</v>
      </c>
      <c r="EQ60" s="540">
        <f t="shared" si="34"/>
        <v>836.35884323616972</v>
      </c>
      <c r="ER60" s="540">
        <f t="shared" si="34"/>
        <v>2928.2368574762058</v>
      </c>
      <c r="ES60" s="540">
        <f t="shared" si="34"/>
        <v>2928.2368574762058</v>
      </c>
      <c r="ET60" s="540">
        <f t="shared" si="34"/>
        <v>2928.2368574762058</v>
      </c>
      <c r="EU60" s="540">
        <f t="shared" si="34"/>
        <v>2928.2368574762058</v>
      </c>
      <c r="EV60" s="540">
        <f t="shared" si="34"/>
        <v>2928.2368574762058</v>
      </c>
      <c r="EW60" s="540">
        <f t="shared" si="34"/>
        <v>2928.2368574762058</v>
      </c>
      <c r="EX60" s="540">
        <f t="shared" si="34"/>
        <v>2928.2368574762058</v>
      </c>
      <c r="EY60" s="540">
        <f t="shared" si="34"/>
        <v>2928.2368574762058</v>
      </c>
      <c r="EZ60" s="540">
        <f t="shared" si="34"/>
        <v>2928.2368574762058</v>
      </c>
      <c r="FA60" s="540">
        <f t="shared" si="34"/>
        <v>2928.2368574762058</v>
      </c>
      <c r="FB60" s="540">
        <f t="shared" si="34"/>
        <v>2928.2368574762058</v>
      </c>
      <c r="FC60" s="540">
        <f t="shared" si="34"/>
        <v>2928.2368574762058</v>
      </c>
      <c r="FD60" s="540">
        <f t="shared" si="34"/>
        <v>3029.944644281321</v>
      </c>
      <c r="FE60" s="540">
        <f t="shared" si="34"/>
        <v>3029.944644281321</v>
      </c>
      <c r="FF60" s="540">
        <f t="shared" si="34"/>
        <v>3029.944644281321</v>
      </c>
      <c r="FG60" s="540">
        <f t="shared" si="34"/>
        <v>3029.944644281321</v>
      </c>
      <c r="FH60" s="540">
        <f t="shared" si="34"/>
        <v>3029.944644281321</v>
      </c>
      <c r="FI60" s="540">
        <f t="shared" si="34"/>
        <v>3029.944644281321</v>
      </c>
      <c r="FJ60" s="540">
        <f t="shared" si="34"/>
        <v>3029.944644281321</v>
      </c>
      <c r="FK60" s="540">
        <f t="shared" si="34"/>
        <v>3029.944644281321</v>
      </c>
      <c r="FL60" s="540">
        <f t="shared" si="34"/>
        <v>3029.944644281321</v>
      </c>
      <c r="FM60" s="540">
        <f t="shared" si="34"/>
        <v>3029.944644281321</v>
      </c>
      <c r="FN60" s="540">
        <f t="shared" si="34"/>
        <v>3029.944644281321</v>
      </c>
      <c r="FO60" s="540">
        <f t="shared" si="34"/>
        <v>3029.944644281321</v>
      </c>
      <c r="FP60" s="540">
        <f t="shared" si="34"/>
        <v>3135.1809834963528</v>
      </c>
      <c r="FQ60" s="540">
        <f t="shared" si="34"/>
        <v>3135.1809834963528</v>
      </c>
      <c r="FR60" s="540">
        <f t="shared" si="34"/>
        <v>3135.1809834963528</v>
      </c>
      <c r="FS60" s="540">
        <f t="shared" si="34"/>
        <v>3135.1809834963528</v>
      </c>
      <c r="FT60" s="540">
        <f t="shared" si="34"/>
        <v>3135.1809834963528</v>
      </c>
      <c r="FU60" s="540">
        <f t="shared" si="34"/>
        <v>3135.1809834963528</v>
      </c>
      <c r="FV60" s="540">
        <f t="shared" si="34"/>
        <v>3135.1809834963528</v>
      </c>
      <c r="FW60" s="540">
        <f t="shared" si="34"/>
        <v>3135.1809834963528</v>
      </c>
      <c r="FX60" s="540">
        <f t="shared" si="34"/>
        <v>3135.1809834963528</v>
      </c>
      <c r="FY60" s="540">
        <f t="shared" si="34"/>
        <v>3135.1809834963528</v>
      </c>
      <c r="FZ60" s="540">
        <f t="shared" si="34"/>
        <v>3135.1809834963528</v>
      </c>
      <c r="GA60" s="541">
        <f t="shared" si="34"/>
        <v>3135.1809834963528</v>
      </c>
    </row>
    <row r="61" spans="1:183" x14ac:dyDescent="0.15">
      <c r="A61" s="279" t="s">
        <v>834</v>
      </c>
      <c r="B61" s="290"/>
      <c r="C61" s="542"/>
      <c r="D61" s="62">
        <f ca="1">XNPV(BlendedReqIRR,$C60:D60,$C$58:D$58)</f>
        <v>1920.7277810545986</v>
      </c>
      <c r="E61" s="62">
        <f ca="1">XNPV(BlendedReqIRR,$C60:E60,$C$58:E$58)</f>
        <v>3819.5178621670857</v>
      </c>
      <c r="F61" s="62">
        <f ca="1">XNPV(BlendedReqIRR,$C60:F60,$C$58:F$58)</f>
        <v>5695.9021831782502</v>
      </c>
      <c r="G61" s="62">
        <f ca="1">XNPV(BlendedReqIRR,$C60:G60,$C$58:G$58)</f>
        <v>7550.1451324955897</v>
      </c>
      <c r="H61" s="62">
        <f ca="1">XNPV(BlendedReqIRR,$C60:H60,$C$58:H$58)</f>
        <v>9384.6140752183601</v>
      </c>
      <c r="I61" s="62">
        <f ca="1">XNPV(BlendedReqIRR,$C60:I60,$C$58:I$58)</f>
        <v>11197.436248531059</v>
      </c>
      <c r="J61" s="62">
        <f ca="1">XNPV(BlendedReqIRR,$C60:J60,$C$58:J$58)</f>
        <v>12989.553171844873</v>
      </c>
      <c r="K61" s="62">
        <f ca="1">XNPV(BlendedReqIRR,$C60:K60,$C$58:K$58)</f>
        <v>14760.523080406132</v>
      </c>
      <c r="L61" s="62">
        <f ca="1">XNPV(BlendedReqIRR,$C60:L60,$C$58:L$58)</f>
        <v>16511.265756954745</v>
      </c>
      <c r="M61" s="62">
        <f ca="1">XNPV(BlendedReqIRR,$C60:M60,$C$58:M$58)</f>
        <v>18241.349635671999</v>
      </c>
      <c r="N61" s="62">
        <f ca="1">XNPV(BlendedReqIRR,$C60:N60,$C$58:N$58)</f>
        <v>19951.018490776431</v>
      </c>
      <c r="O61" s="62">
        <f ca="1">XNPV(BlendedReqIRR,$C60:O60,$C$58:O$58)</f>
        <v>21641.160267284089</v>
      </c>
      <c r="P61" s="62">
        <f ca="1">XNPV(BlendedReqIRR,$C60:P60,$C$58:P$58)</f>
        <v>23369.396359371956</v>
      </c>
      <c r="Q61" s="62">
        <f ca="1">XNPV(BlendedReqIRR,$C60:Q60,$C$58:Q$58)</f>
        <v>25077.893306125789</v>
      </c>
      <c r="R61" s="62">
        <f ca="1">XNPV(BlendedReqIRR,$C60:R60,$C$58:R$58)</f>
        <v>26766.229955486251</v>
      </c>
      <c r="S61" s="62">
        <f ca="1">XNPV(BlendedReqIRR,$C60:S60,$C$58:S$58)</f>
        <v>28434.644199356964</v>
      </c>
      <c r="T61" s="62">
        <f ca="1">XNPV(BlendedReqIRR,$C60:T60,$C$58:T$58)</f>
        <v>30085.266150004765</v>
      </c>
      <c r="U61" s="62">
        <f ca="1">XNPV(BlendedReqIRR,$C60:U60,$C$58:U$58)</f>
        <v>31716.4107293454</v>
      </c>
      <c r="V61" s="62">
        <f ca="1">XNPV(BlendedReqIRR,$C60:V60,$C$58:V$58)</f>
        <v>33328.925099503489</v>
      </c>
      <c r="W61" s="62">
        <f ca="1">XNPV(BlendedReqIRR,$C60:W60,$C$58:W$58)</f>
        <v>34922.411768549653</v>
      </c>
      <c r="X61" s="62">
        <f ca="1">XNPV(BlendedReqIRR,$C60:X60,$C$58:X$58)</f>
        <v>36497.69834034513</v>
      </c>
      <c r="Y61" s="62">
        <f ca="1">XNPV(BlendedReqIRR,$C60:Y60,$C$58:Y$58)</f>
        <v>38054.396499777613</v>
      </c>
      <c r="Z61" s="62">
        <f ca="1">XNPV(BlendedReqIRR,$C60:Z60,$C$58:Z$58)</f>
        <v>39592.725590476606</v>
      </c>
      <c r="AA61" s="62">
        <f ca="1">XNPV(BlendedReqIRR,$C60:AA60,$C$58:AA$58)</f>
        <v>41113.484569295695</v>
      </c>
      <c r="AB61" s="62">
        <f ca="1">XNPV(BlendedReqIRR,$C60:AB60,$C$58:AB$58)</f>
        <v>42668.51821104806</v>
      </c>
      <c r="AC61" s="62">
        <f ca="1">XNPV(BlendedReqIRR,$C60:AC60,$C$58:AC$58)</f>
        <v>44205.790948954942</v>
      </c>
      <c r="AD61" s="62">
        <f ca="1">XNPV(BlendedReqIRR,$C60:AD60,$C$58:AD$58)</f>
        <v>45724.92383848234</v>
      </c>
      <c r="AE61" s="62">
        <f ca="1">XNPV(BlendedReqIRR,$C60:AE60,$C$58:AE$58)</f>
        <v>47226.130930195992</v>
      </c>
      <c r="AF61" s="62">
        <f ca="1">XNPV(BlendedReqIRR,$C60:AF60,$C$58:AF$58)</f>
        <v>48710.760270772837</v>
      </c>
      <c r="AG61" s="62">
        <f ca="1">XNPV(BlendedReqIRR,$C60:AG60,$C$58:AG$58)</f>
        <v>50177.870956088504</v>
      </c>
      <c r="AH61" s="62">
        <f ca="1">XNPV(BlendedReqIRR,$C60:AH60,$C$58:AH$58)</f>
        <v>51628.224954530691</v>
      </c>
      <c r="AI61" s="62">
        <f ca="1">XNPV(BlendedReqIRR,$C60:AI60,$C$58:AI$58)</f>
        <v>53061.464747419392</v>
      </c>
      <c r="AJ61" s="62">
        <f ca="1">XNPV(BlendedReqIRR,$C60:AJ60,$C$58:AJ$58)</f>
        <v>54478.334711729767</v>
      </c>
      <c r="AK61" s="62">
        <f ca="1">XNPV(BlendedReqIRR,$C60:AK60,$C$58:AK$58)</f>
        <v>55878.485582744426</v>
      </c>
      <c r="AL61" s="62">
        <f ca="1">XNPV(BlendedReqIRR,$C60:AL60,$C$58:AL$58)</f>
        <v>57262.114646091308</v>
      </c>
      <c r="AM61" s="62">
        <f ca="1">XNPV(BlendedReqIRR,$C60:AM60,$C$58:AM$58)</f>
        <v>58629.940512586305</v>
      </c>
      <c r="AN61" s="62">
        <f ca="1">XNPV(BlendedReqIRR,$C60:AN60,$C$58:AN$58)</f>
        <v>60028.59252641903</v>
      </c>
      <c r="AO61" s="62">
        <f ca="1">XNPV(BlendedReqIRR,$C60:AO60,$C$58:AO$58)</f>
        <v>61411.269757929374</v>
      </c>
      <c r="AP61" s="62">
        <f ca="1">XNPV(BlendedReqIRR,$C60:AP60,$C$58:AP$58)</f>
        <v>62777.631371059921</v>
      </c>
      <c r="AQ61" s="62">
        <f ca="1">XNPV(BlendedReqIRR,$C60:AQ60,$C$58:AQ$58)</f>
        <v>64127.869890426715</v>
      </c>
      <c r="AR61" s="62">
        <f ca="1">XNPV(BlendedReqIRR,$C60:AR60,$C$58:AR$58)</f>
        <v>65463.709204233077</v>
      </c>
      <c r="AS61" s="62">
        <f ca="1">XNPV(BlendedReqIRR,$C60:AS60,$C$58:AS$58)</f>
        <v>66783.785588004786</v>
      </c>
      <c r="AT61" s="62">
        <f ca="1">XNPV(BlendedReqIRR,$C60:AT60,$C$58:AT$58)</f>
        <v>68088.784645414329</v>
      </c>
      <c r="AU61" s="62">
        <f ca="1">XNPV(BlendedReqIRR,$C60:AU60,$C$58:AU$58)</f>
        <v>69378.384688418009</v>
      </c>
      <c r="AV61" s="62">
        <f ca="1">XNPV(BlendedReqIRR,$C60:AV60,$C$58:AV$58)</f>
        <v>70653.255492292737</v>
      </c>
      <c r="AW61" s="62">
        <f ca="1">XNPV(BlendedReqIRR,$C60:AW60,$C$58:AW$58)</f>
        <v>71913.082795742681</v>
      </c>
      <c r="AX61" s="62">
        <f ca="1">XNPV(BlendedReqIRR,$C60:AX60,$C$58:AX$58)</f>
        <v>73158.044112367133</v>
      </c>
      <c r="AY61" s="62">
        <f ca="1">XNPV(BlendedReqIRR,$C60:AY60,$C$58:AY$58)</f>
        <v>74388.786033576456</v>
      </c>
      <c r="AZ61" s="62">
        <f ca="1">XNPV(BlendedReqIRR,$C60:AZ60,$C$58:AZ$58)</f>
        <v>75647.263131323605</v>
      </c>
      <c r="BA61" s="62">
        <f ca="1">XNPV(BlendedReqIRR,$C60:BA60,$C$58:BA$58)</f>
        <v>76891.366462404432</v>
      </c>
      <c r="BB61" s="62">
        <f ca="1">XNPV(BlendedReqIRR,$C60:BB60,$C$58:BB$58)</f>
        <v>78120.789349841303</v>
      </c>
      <c r="BC61" s="62">
        <f ca="1">XNPV(BlendedReqIRR,$C60:BC60,$C$58:BC$58)</f>
        <v>79335.705023156421</v>
      </c>
      <c r="BD61" s="62">
        <f ca="1">XNPV(BlendedReqIRR,$C60:BD60,$C$58:BD$58)</f>
        <v>80537.664599998403</v>
      </c>
      <c r="BE61" s="62">
        <f ca="1">XNPV(BlendedReqIRR,$C60:BE60,$C$58:BE$58)</f>
        <v>81725.441030320872</v>
      </c>
      <c r="BF61" s="62">
        <f ca="1">XNPV(BlendedReqIRR,$C60:BF60,$C$58:BF$58)</f>
        <v>82899.651205610353</v>
      </c>
      <c r="BG61" s="62">
        <f ca="1">XNPV(BlendedReqIRR,$C60:BG60,$C$58:BG$58)</f>
        <v>84060.005677861482</v>
      </c>
      <c r="BH61" s="62">
        <f ca="1">XNPV(BlendedReqIRR,$C60:BH60,$C$58:BH$58)</f>
        <v>85207.107096509804</v>
      </c>
      <c r="BI61" s="62">
        <f ca="1">XNPV(BlendedReqIRR,$C60:BI60,$C$58:BI$58)</f>
        <v>86340.672695978428</v>
      </c>
      <c r="BJ61" s="62">
        <f ca="1">XNPV(BlendedReqIRR,$C60:BJ60,$C$58:BJ$58)</f>
        <v>87460.862199198484</v>
      </c>
      <c r="BK61" s="62">
        <f ca="1">XNPV(BlendedReqIRR,$C60:BK60,$C$58:BK$58)</f>
        <v>88568.257395259381</v>
      </c>
      <c r="BL61" s="62">
        <f ca="1">XNPV(BlendedReqIRR,$C60:BL60,$C$58:BL$58)</f>
        <v>89700.606693414069</v>
      </c>
      <c r="BM61" s="62">
        <f ca="1">XNPV(BlendedReqIRR,$C60:BM60,$C$58:BM$58)</f>
        <v>90820.022800630613</v>
      </c>
      <c r="BN61" s="62">
        <f ca="1">XNPV(BlendedReqIRR,$C60:BN60,$C$58:BN$58)</f>
        <v>91926.229775883941</v>
      </c>
      <c r="BO61" s="62">
        <f ca="1">XNPV(BlendedReqIRR,$C60:BO60,$C$58:BO$58)</f>
        <v>93019.383487189625</v>
      </c>
      <c r="BP61" s="62">
        <f ca="1">XNPV(BlendedReqIRR,$C60:BP60,$C$58:BP$58)</f>
        <v>94100.879595210805</v>
      </c>
      <c r="BQ61" s="62">
        <f ca="1">XNPV(BlendedReqIRR,$C60:BQ60,$C$58:BQ$58)</f>
        <v>95169.614028001073</v>
      </c>
      <c r="BR61" s="62">
        <f ca="1">XNPV(BlendedReqIRR,$C60:BR60,$C$58:BR$58)</f>
        <v>96226.141850601387</v>
      </c>
      <c r="BS61" s="62">
        <f ca="1">XNPV(BlendedReqIRR,$C60:BS60,$C$58:BS$58)</f>
        <v>97270.202624227182</v>
      </c>
      <c r="BT61" s="62">
        <f ca="1">XNPV(BlendedReqIRR,$C60:BT60,$C$58:BT$58)</f>
        <v>98302.338599243274</v>
      </c>
      <c r="BU61" s="62">
        <f ca="1">XNPV(BlendedReqIRR,$C60:BU60,$C$58:BU$58)</f>
        <v>99322.295349563501</v>
      </c>
      <c r="BV61" s="62">
        <f ca="1">XNPV(BlendedReqIRR,$C60:BV60,$C$58:BV$58)</f>
        <v>100330.21659027752</v>
      </c>
      <c r="BW61" s="62">
        <f ca="1">XNPV(BlendedReqIRR,$C60:BW60,$C$58:BW$58)</f>
        <v>101326.62580208137</v>
      </c>
      <c r="BX61" s="62">
        <f ca="1">XNPV(BlendedReqIRR,$C60:BX60,$C$58:BX$58)</f>
        <v>102345.4868718028</v>
      </c>
      <c r="BY61" s="62">
        <f ca="1">XNPV(BlendedReqIRR,$C60:BY60,$C$58:BY$58)</f>
        <v>103352.71096274426</v>
      </c>
      <c r="BZ61" s="62">
        <f ca="1">XNPV(BlendedReqIRR,$C60:BZ60,$C$58:BZ$58)</f>
        <v>104348.04978970926</v>
      </c>
      <c r="CA61" s="62">
        <f ca="1">XNPV(BlendedReqIRR,$C60:CA60,$C$58:CA$58)</f>
        <v>105331.64359904522</v>
      </c>
      <c r="CB61" s="62">
        <f ca="1">XNPV(BlendedReqIRR,$C60:CB60,$C$58:CB$58)</f>
        <v>106304.37563355951</v>
      </c>
      <c r="CC61" s="62">
        <f ca="1">XNPV(BlendedReqIRR,$C60:CC60,$C$58:CC$58)</f>
        <v>107265.62941103792</v>
      </c>
      <c r="CD61" s="62">
        <f ca="1">XNPV(BlendedReqIRR,$C60:CD60,$C$58:CD$58)</f>
        <v>108215.90417465162</v>
      </c>
      <c r="CE61" s="62">
        <f ca="1">XNPV(BlendedReqIRR,$C60:CE60,$C$58:CE$58)</f>
        <v>109154.96567746536</v>
      </c>
      <c r="CF61" s="62">
        <f ca="1">XNPV(BlendedReqIRR,$C60:CF60,$C$58:CF$58)</f>
        <v>110083.30163672258</v>
      </c>
      <c r="CG61" s="62">
        <f ca="1">XNPV(BlendedReqIRR,$C60:CG60,$C$58:CG$58)</f>
        <v>111000.68321350044</v>
      </c>
      <c r="CH61" s="62">
        <f ca="1">XNPV(BlendedReqIRR,$C60:CH60,$C$58:CH$58)</f>
        <v>111907.23966972646</v>
      </c>
      <c r="CI61" s="62">
        <f ca="1">XNPV(BlendedReqIRR,$C60:CI60,$C$58:CI$58)</f>
        <v>112803.44184060636</v>
      </c>
      <c r="CJ61" s="62">
        <f ca="1">XNPV(BlendedReqIRR,$C60:CJ60,$C$58:CJ$58)</f>
        <v>113719.83676985091</v>
      </c>
      <c r="CK61" s="62">
        <f ca="1">XNPV(BlendedReqIRR,$C60:CK60,$C$58:CK$58)</f>
        <v>114625.76504307865</v>
      </c>
      <c r="CL61" s="62">
        <f ca="1">XNPV(BlendedReqIRR,$C60:CL60,$C$58:CL$58)</f>
        <v>115521.0033449605</v>
      </c>
      <c r="CM61" s="62">
        <f ca="1">XNPV(BlendedReqIRR,$C60:CM60,$C$58:CM$58)</f>
        <v>116405.67781736745</v>
      </c>
      <c r="CN61" s="62">
        <f ca="1">XNPV(BlendedReqIRR,$C60:CN60,$C$58:CN$58)</f>
        <v>117280.91794954523</v>
      </c>
      <c r="CO61" s="62">
        <f ca="1">XNPV(BlendedReqIRR,$C60:CO60,$C$58:CO$58)</f>
        <v>118145.83023104184</v>
      </c>
      <c r="CP61" s="62">
        <f ca="1">XNPV(BlendedReqIRR,$C60:CP60,$C$58:CP$58)</f>
        <v>119000.86386846671</v>
      </c>
      <c r="CQ61" s="62">
        <f ca="1">XNPV(BlendedReqIRR,$C60:CQ60,$C$58:CQ$58)</f>
        <v>119845.80809224378</v>
      </c>
      <c r="CR61" s="62">
        <f ca="1">XNPV(BlendedReqIRR,$C60:CR60,$C$58:CR$58)</f>
        <v>120681.10173823888</v>
      </c>
      <c r="CS61" s="62">
        <f ca="1">XNPV(BlendedReqIRR,$C60:CS60,$C$58:CS$58)</f>
        <v>121506.53890287119</v>
      </c>
      <c r="CT61" s="62">
        <f ca="1">XNPV(BlendedReqIRR,$C60:CT60,$C$58:CT$58)</f>
        <v>122322.23589281362</v>
      </c>
      <c r="CU61" s="62">
        <f ca="1">XNPV(BlendedReqIRR,$C60:CU60,$C$58:CU$58)</f>
        <v>123128.61635389364</v>
      </c>
      <c r="CV61" s="62">
        <f ca="1">XNPV(BlendedReqIRR,$C60:CV60,$C$58:CV$58)</f>
        <v>123953.16471051602</v>
      </c>
      <c r="CW61" s="62">
        <f ca="1">XNPV(BlendedReqIRR,$C60:CW60,$C$58:CW$58)</f>
        <v>124768.29544189564</v>
      </c>
      <c r="CX61" s="62">
        <f ca="1">XNPV(BlendedReqIRR,$C60:CX60,$C$58:CX$58)</f>
        <v>125573.80761469936</v>
      </c>
      <c r="CY61" s="62">
        <f ca="1">XNPV(BlendedReqIRR,$C60:CY60,$C$58:CY$58)</f>
        <v>126369.81472810653</v>
      </c>
      <c r="CZ61" s="62">
        <f ca="1">XNPV(BlendedReqIRR,$C60:CZ60,$C$58:CZ$58)</f>
        <v>127157.33306720524</v>
      </c>
      <c r="DA61" s="62">
        <f ca="1">XNPV(BlendedReqIRR,$C60:DA60,$C$58:DA$58)</f>
        <v>127935.55867449712</v>
      </c>
      <c r="DB61" s="62">
        <f ca="1">XNPV(BlendedReqIRR,$C60:DB60,$C$58:DB$58)</f>
        <v>128704.89573442251</v>
      </c>
      <c r="DC61" s="62">
        <f ca="1">XNPV(BlendedReqIRR,$C60:DC60,$C$58:DC$58)</f>
        <v>129465.15460199097</v>
      </c>
      <c r="DD61" s="62">
        <f ca="1">XNPV(BlendedReqIRR,$C60:DD60,$C$58:DD$58)</f>
        <v>130216.73013031713</v>
      </c>
      <c r="DE61" s="62">
        <f ca="1">XNPV(BlendedReqIRR,$C60:DE60,$C$58:DE$58)</f>
        <v>130959.43705270668</v>
      </c>
      <c r="DF61" s="62">
        <f ca="1">XNPV(BlendedReqIRR,$C60:DF60,$C$58:DF$58)</f>
        <v>131693.38001888318</v>
      </c>
      <c r="DG61" s="62">
        <f ca="1">XNPV(BlendedReqIRR,$C60:DG60,$C$58:DG$58)</f>
        <v>132418.9402143592</v>
      </c>
      <c r="DH61" s="62">
        <f ca="1">XNPV(BlendedReqIRR,$C60:DH60,$C$58:DH$58)</f>
        <v>133160.84646324487</v>
      </c>
      <c r="DI61" s="62">
        <f ca="1">XNPV(BlendedReqIRR,$C60:DI60,$C$58:DI$58)</f>
        <v>133894.27898835056</v>
      </c>
      <c r="DJ61" s="62">
        <f ca="1">XNPV(BlendedReqIRR,$C60:DJ60,$C$58:DJ$58)</f>
        <v>134619.05699531257</v>
      </c>
      <c r="DK61" s="62">
        <f ca="1">XNPV(BlendedReqIRR,$C60:DK60,$C$58:DK$58)</f>
        <v>135335.2826076143</v>
      </c>
      <c r="DL61" s="62">
        <f ca="1">XNPV(BlendedReqIRR,$C60:DL60,$C$58:DL$58)</f>
        <v>136043.87025101553</v>
      </c>
      <c r="DM61" s="62">
        <f ca="1">XNPV(BlendedReqIRR,$C60:DM60,$C$58:DM$58)</f>
        <v>136744.0965463632</v>
      </c>
      <c r="DN61" s="62">
        <f ca="1">XNPV(BlendedReqIRR,$C60:DN60,$C$58:DN$58)</f>
        <v>137436.32516785493</v>
      </c>
      <c r="DO61" s="62">
        <f ca="1">XNPV(BlendedReqIRR,$C60:DO60,$C$58:DO$58)</f>
        <v>138120.38547807166</v>
      </c>
      <c r="DP61" s="62">
        <f ca="1">XNPV(BlendedReqIRR,$C60:DP60,$C$58:DP$58)</f>
        <v>138796.63275513719</v>
      </c>
      <c r="DQ61" s="62">
        <f ca="1">XNPV(BlendedReqIRR,$C60:DQ60,$C$58:DQ$58)</f>
        <v>139464.90030110456</v>
      </c>
      <c r="DR61" s="62">
        <f ca="1">XNPV(BlendedReqIRR,$C60:DR60,$C$58:DR$58)</f>
        <v>140125.28227695683</v>
      </c>
      <c r="DS61" s="62">
        <f ca="1">XNPV(BlendedReqIRR,$C60:DS60,$C$58:DS$58)</f>
        <v>140778.12166308021</v>
      </c>
      <c r="DT61" s="62">
        <f ca="1">XNPV(BlendedReqIRR,$C60:DT60,$C$58:DT$58)</f>
        <v>141445.66792798392</v>
      </c>
      <c r="DU61" s="62">
        <f ca="1">XNPV(BlendedReqIRR,$C60:DU60,$C$58:DU$58)</f>
        <v>142105.58977582998</v>
      </c>
      <c r="DV61" s="62">
        <f ca="1">XNPV(BlendedReqIRR,$C60:DV60,$C$58:DV$58)</f>
        <v>142757.72453296205</v>
      </c>
      <c r="DW61" s="62">
        <f ca="1">XNPV(BlendedReqIRR,$C60:DW60,$C$58:DW$58)</f>
        <v>143402.16408720289</v>
      </c>
      <c r="DX61" s="62">
        <f ca="1">XNPV(BlendedReqIRR,$C60:DX60,$C$58:DX$58)</f>
        <v>144039.4871292637</v>
      </c>
      <c r="DY61" s="62">
        <f ca="1">XNPV(BlendedReqIRR,$C60:DY60,$C$58:DY$58)</f>
        <v>144669.28974696086</v>
      </c>
      <c r="DZ61" s="62">
        <f ca="1">XNPV(BlendedReqIRR,$C60:DZ60,$C$58:DZ$58)</f>
        <v>145291.89903878118</v>
      </c>
      <c r="EA61" s="62">
        <f ca="1">XNPV(BlendedReqIRR,$C60:EA60,$C$58:EA$58)</f>
        <v>145907.16152877852</v>
      </c>
      <c r="EB61" s="62">
        <f ca="1">XNPV(BlendedReqIRR,$C60:EB60,$C$58:EB$58)</f>
        <v>146515.39676378205</v>
      </c>
      <c r="EC61" s="62">
        <f ca="1">XNPV(BlendedReqIRR,$C60:EC60,$C$58:EC$58)</f>
        <v>147116.45481111421</v>
      </c>
      <c r="ED61" s="62">
        <f ca="1">XNPV(BlendedReqIRR,$C60:ED60,$C$58:ED$58)</f>
        <v>147710.42036172992</v>
      </c>
      <c r="EE61" s="62">
        <f ca="1">XNPV(BlendedReqIRR,$C60:EE60,$C$58:EE$58)</f>
        <v>148297.60190153791</v>
      </c>
      <c r="EF61" s="62">
        <f ca="1">XNPV(BlendedReqIRR,$C60:EF60,$C$58:EF$58)</f>
        <v>148475.04632852963</v>
      </c>
      <c r="EG61" s="62">
        <f ca="1">XNPV(BlendedReqIRR,$C60:EG60,$C$58:EG$58)</f>
        <v>148650.46406405879</v>
      </c>
      <c r="EH61" s="62">
        <f ca="1">XNPV(BlendedReqIRR,$C60:EH60,$C$58:EH$58)</f>
        <v>148823.81186687716</v>
      </c>
      <c r="EI61" s="62">
        <f ca="1">XNPV(BlendedReqIRR,$C60:EI60,$C$58:EI$58)</f>
        <v>148995.11416223124</v>
      </c>
      <c r="EJ61" s="62">
        <f ca="1">XNPV(BlendedReqIRR,$C60:EJ60,$C$58:EJ$58)</f>
        <v>149164.5896566695</v>
      </c>
      <c r="EK61" s="62">
        <f ca="1">XNPV(BlendedReqIRR,$C60:EK60,$C$58:EK$58)</f>
        <v>149332.0653369581</v>
      </c>
      <c r="EL61" s="62">
        <f ca="1">XNPV(BlendedReqIRR,$C60:EL60,$C$58:EL$58)</f>
        <v>149497.62818438304</v>
      </c>
      <c r="EM61" s="62">
        <f ca="1">XNPV(BlendedReqIRR,$C60:EM60,$C$58:EM$58)</f>
        <v>149661.23738696959</v>
      </c>
      <c r="EN61" s="62">
        <f ca="1">XNPV(BlendedReqIRR,$C60:EN60,$C$58:EN$58)</f>
        <v>149822.97791788413</v>
      </c>
      <c r="EO61" s="62">
        <f ca="1">XNPV(BlendedReqIRR,$C60:EO60,$C$58:EO$58)</f>
        <v>149982.8099073699</v>
      </c>
      <c r="EP61" s="62">
        <f ca="1">XNPV(BlendedReqIRR,$C60:EP60,$C$58:EP$58)</f>
        <v>150140.7558762531</v>
      </c>
      <c r="EQ61" s="62">
        <f ca="1">XNPV(BlendedReqIRR,$C60:EQ60,$C$58:EQ$58)</f>
        <v>150296.89785640527</v>
      </c>
      <c r="ER61" s="62">
        <f ca="1">XNPV(BlendedReqIRR,$C60:ER60,$C$58:ER$58)</f>
        <v>150837.12707944229</v>
      </c>
      <c r="ES61" s="62">
        <f ca="1">XNPV(BlendedReqIRR,$C60:ES60,$C$58:ES$58)</f>
        <v>151371.18604414709</v>
      </c>
      <c r="ET61" s="62">
        <f ca="1">XNPV(BlendedReqIRR,$C60:ET60,$C$58:ET$58)</f>
        <v>151898.94310262112</v>
      </c>
      <c r="EU61" s="62">
        <f ca="1">XNPV(BlendedReqIRR,$C60:EU60,$C$58:EU$58)</f>
        <v>152420.47261748114</v>
      </c>
      <c r="EV61" s="62">
        <f ca="1">XNPV(BlendedReqIRR,$C60:EV60,$C$58:EV$58)</f>
        <v>152936.44044040111</v>
      </c>
      <c r="EW61" s="62">
        <f ca="1">XNPV(BlendedReqIRR,$C60:EW60,$C$58:EW$58)</f>
        <v>153446.31983291724</v>
      </c>
      <c r="EX61" s="62">
        <f ca="1">XNPV(BlendedReqIRR,$C60:EX60,$C$58:EX$58)</f>
        <v>153950.37560939055</v>
      </c>
      <c r="EY61" s="62">
        <f ca="1">XNPV(BlendedReqIRR,$C60:EY60,$C$58:EY$58)</f>
        <v>154448.48351784112</v>
      </c>
      <c r="EZ61" s="62">
        <f ca="1">XNPV(BlendedReqIRR,$C60:EZ60,$C$58:EZ$58)</f>
        <v>154940.90225891347</v>
      </c>
      <c r="FA61" s="62">
        <f ca="1">XNPV(BlendedReqIRR,$C60:FA60,$C$58:FA$58)</f>
        <v>155427.51044920846</v>
      </c>
      <c r="FB61" s="62">
        <f ca="1">XNPV(BlendedReqIRR,$C60:FB60,$C$58:FB$58)</f>
        <v>155908.37665333893</v>
      </c>
      <c r="FC61" s="62">
        <f ca="1">XNPV(BlendedReqIRR,$C60:FC60,$C$58:FC$58)</f>
        <v>156383.7506171829</v>
      </c>
      <c r="FD61" s="62">
        <f ca="1">XNPV(BlendedReqIRR,$C60:FD60,$C$58:FD$58)</f>
        <v>156869.83170511786</v>
      </c>
      <c r="FE61" s="62">
        <f ca="1">XNPV(BlendedReqIRR,$C60:FE60,$C$58:FE$58)</f>
        <v>157350.36099067883</v>
      </c>
      <c r="FF61" s="62">
        <f ca="1">XNPV(BlendedReqIRR,$C60:FF60,$C$58:FF$58)</f>
        <v>157825.22002127004</v>
      </c>
      <c r="FG61" s="62">
        <f ca="1">XNPV(BlendedReqIRR,$C60:FG60,$C$58:FG$58)</f>
        <v>158294.47570601109</v>
      </c>
      <c r="FH61" s="62">
        <f ca="1">XNPV(BlendedReqIRR,$C60:FH60,$C$58:FH$58)</f>
        <v>158758.72715707927</v>
      </c>
      <c r="FI61" s="62">
        <f ca="1">XNPV(BlendedReqIRR,$C60:FI60,$C$58:FI$58)</f>
        <v>159217.50043194316</v>
      </c>
      <c r="FJ61" s="62">
        <f ca="1">XNPV(BlendedReqIRR,$C60:FJ60,$C$58:FJ$58)</f>
        <v>159671.0338021497</v>
      </c>
      <c r="FK61" s="62">
        <f ca="1">XNPV(BlendedReqIRR,$C60:FK60,$C$58:FK$58)</f>
        <v>160119.21546971577</v>
      </c>
      <c r="FL61" s="62">
        <f ca="1">XNPV(BlendedReqIRR,$C60:FL60,$C$58:FL$58)</f>
        <v>160562.27820526055</v>
      </c>
      <c r="FM61" s="62">
        <f ca="1">XNPV(BlendedReqIRR,$C60:FM60,$C$58:FM$58)</f>
        <v>161000.1127918587</v>
      </c>
      <c r="FN61" s="62">
        <f ca="1">XNPV(BlendedReqIRR,$C60:FN60,$C$58:FN$58)</f>
        <v>161432.78092177006</v>
      </c>
      <c r="FO61" s="62">
        <f ca="1">XNPV(BlendedReqIRR,$C60:FO60,$C$58:FO$58)</f>
        <v>161860.50730839945</v>
      </c>
      <c r="FP61" s="62">
        <f ca="1">XNPV(BlendedReqIRR,$C60:FP60,$C$58:FP$58)</f>
        <v>162297.86705161893</v>
      </c>
      <c r="FQ61" s="62">
        <f ca="1">XNPV(BlendedReqIRR,$C60:FQ60,$C$58:FQ$58)</f>
        <v>162730.23146603224</v>
      </c>
      <c r="FR61" s="62">
        <f ca="1">XNPV(BlendedReqIRR,$C60:FR60,$C$58:FR$58)</f>
        <v>163157.49397189755</v>
      </c>
      <c r="FS61" s="62">
        <f ca="1">XNPV(BlendedReqIRR,$C60:FS60,$C$58:FS$58)</f>
        <v>163579.71477183551</v>
      </c>
      <c r="FT61" s="62">
        <f ca="1">XNPV(BlendedReqIRR,$C60:FT60,$C$58:FT$58)</f>
        <v>163997.27300963612</v>
      </c>
      <c r="FU61" s="62">
        <f ca="1">XNPV(BlendedReqIRR,$C60:FU60,$C$58:FU$58)</f>
        <v>164409.9040520624</v>
      </c>
      <c r="FV61" s="62">
        <f ca="1">XNPV(BlendedReqIRR,$C60:FV60,$C$58:FV$58)</f>
        <v>164817.82220592382</v>
      </c>
      <c r="FW61" s="62">
        <f ca="1">XNPV(BlendedReqIRR,$C60:FW60,$C$58:FW$58)</f>
        <v>165220.92691758997</v>
      </c>
      <c r="FX61" s="62">
        <f ca="1">XNPV(BlendedReqIRR,$C60:FX60,$C$58:FX$58)</f>
        <v>165619.42754621163</v>
      </c>
      <c r="FY61" s="62">
        <f ca="1">XNPV(BlendedReqIRR,$C60:FY60,$C$58:FY$58)</f>
        <v>166013.22585962008</v>
      </c>
      <c r="FZ61" s="62">
        <f ca="1">XNPV(BlendedReqIRR,$C60:FZ60,$C$58:FZ$58)</f>
        <v>166402.37734522682</v>
      </c>
      <c r="GA61" s="420">
        <f ca="1">XNPV(BlendedReqIRR,$C60:GA60,$C$58:GA$58)</f>
        <v>166787.08411534212</v>
      </c>
    </row>
    <row r="62" spans="1:183" x14ac:dyDescent="0.15">
      <c r="A62" s="279" t="s">
        <v>1014</v>
      </c>
      <c r="B62" s="290"/>
      <c r="C62" s="542">
        <f>-C28</f>
        <v>-130617.06070399999</v>
      </c>
      <c r="D62" s="62">
        <f>D60</f>
        <v>1943.663042983809</v>
      </c>
      <c r="E62" s="62">
        <f t="shared" ref="E62:BP62" si="35">E60</f>
        <v>1943.663042983809</v>
      </c>
      <c r="F62" s="62">
        <f t="shared" si="35"/>
        <v>1943.663042983809</v>
      </c>
      <c r="G62" s="62">
        <f t="shared" si="35"/>
        <v>1943.663042983809</v>
      </c>
      <c r="H62" s="62">
        <f t="shared" si="35"/>
        <v>1943.663042983809</v>
      </c>
      <c r="I62" s="62">
        <f t="shared" si="35"/>
        <v>1943.663042983809</v>
      </c>
      <c r="J62" s="62">
        <f t="shared" si="35"/>
        <v>1943.663042983809</v>
      </c>
      <c r="K62" s="62">
        <f t="shared" si="35"/>
        <v>1943.663042983809</v>
      </c>
      <c r="L62" s="62">
        <f t="shared" si="35"/>
        <v>1943.663042983809</v>
      </c>
      <c r="M62" s="62">
        <f t="shared" si="35"/>
        <v>1943.663042983809</v>
      </c>
      <c r="N62" s="62">
        <f t="shared" si="35"/>
        <v>1943.663042983809</v>
      </c>
      <c r="O62" s="62">
        <f t="shared" si="35"/>
        <v>1943.663042983809</v>
      </c>
      <c r="P62" s="62">
        <f t="shared" si="35"/>
        <v>2011.2037494882422</v>
      </c>
      <c r="Q62" s="62">
        <f t="shared" si="35"/>
        <v>2011.2037494882422</v>
      </c>
      <c r="R62" s="62">
        <f t="shared" si="35"/>
        <v>2011.2037494882422</v>
      </c>
      <c r="S62" s="62">
        <f t="shared" si="35"/>
        <v>2011.2037494882422</v>
      </c>
      <c r="T62" s="62">
        <f t="shared" si="35"/>
        <v>2011.2037494882422</v>
      </c>
      <c r="U62" s="62">
        <f t="shared" si="35"/>
        <v>2011.2037494882422</v>
      </c>
      <c r="V62" s="62">
        <f t="shared" si="35"/>
        <v>2011.2037494882422</v>
      </c>
      <c r="W62" s="62">
        <f t="shared" si="35"/>
        <v>2011.2037494882422</v>
      </c>
      <c r="X62" s="62">
        <f t="shared" si="35"/>
        <v>2011.2037494882422</v>
      </c>
      <c r="Y62" s="62">
        <f t="shared" si="35"/>
        <v>2011.2037494882422</v>
      </c>
      <c r="Z62" s="62">
        <f t="shared" si="35"/>
        <v>2011.2037494882422</v>
      </c>
      <c r="AA62" s="62">
        <f t="shared" si="35"/>
        <v>2011.2037494882422</v>
      </c>
      <c r="AB62" s="62">
        <f t="shared" si="35"/>
        <v>2081.0888807203305</v>
      </c>
      <c r="AC62" s="62">
        <f t="shared" si="35"/>
        <v>2081.0888807203305</v>
      </c>
      <c r="AD62" s="62">
        <f t="shared" si="35"/>
        <v>2081.0888807203305</v>
      </c>
      <c r="AE62" s="62">
        <f t="shared" si="35"/>
        <v>2081.0888807203305</v>
      </c>
      <c r="AF62" s="62">
        <f t="shared" si="35"/>
        <v>2081.0888807203305</v>
      </c>
      <c r="AG62" s="62">
        <f t="shared" si="35"/>
        <v>2081.0888807203305</v>
      </c>
      <c r="AH62" s="62">
        <f t="shared" si="35"/>
        <v>2081.0888807203305</v>
      </c>
      <c r="AI62" s="62">
        <f t="shared" si="35"/>
        <v>2081.0888807203305</v>
      </c>
      <c r="AJ62" s="62">
        <f t="shared" si="35"/>
        <v>2081.0888807203305</v>
      </c>
      <c r="AK62" s="62">
        <f t="shared" si="35"/>
        <v>2081.0888807203305</v>
      </c>
      <c r="AL62" s="62">
        <f t="shared" si="35"/>
        <v>2081.0888807203305</v>
      </c>
      <c r="AM62" s="62">
        <f t="shared" si="35"/>
        <v>2081.0888807203305</v>
      </c>
      <c r="AN62" s="62">
        <f t="shared" si="35"/>
        <v>2153.3997115455418</v>
      </c>
      <c r="AO62" s="62">
        <f t="shared" si="35"/>
        <v>2153.3997115455418</v>
      </c>
      <c r="AP62" s="62">
        <f t="shared" si="35"/>
        <v>2153.3997115455418</v>
      </c>
      <c r="AQ62" s="62">
        <f t="shared" si="35"/>
        <v>2153.3997115455418</v>
      </c>
      <c r="AR62" s="62">
        <f t="shared" si="35"/>
        <v>2153.3997115455418</v>
      </c>
      <c r="AS62" s="62">
        <f t="shared" si="35"/>
        <v>2153.3997115455418</v>
      </c>
      <c r="AT62" s="62">
        <f t="shared" si="35"/>
        <v>2153.3997115455418</v>
      </c>
      <c r="AU62" s="62">
        <f t="shared" si="35"/>
        <v>2153.3997115455418</v>
      </c>
      <c r="AV62" s="62">
        <f t="shared" si="35"/>
        <v>2153.3997115455418</v>
      </c>
      <c r="AW62" s="62">
        <f t="shared" si="35"/>
        <v>2153.3997115455418</v>
      </c>
      <c r="AX62" s="62">
        <f t="shared" si="35"/>
        <v>2153.3997115455418</v>
      </c>
      <c r="AY62" s="62">
        <f t="shared" si="35"/>
        <v>2153.3997115455418</v>
      </c>
      <c r="AZ62" s="62">
        <f t="shared" si="35"/>
        <v>2228.2203302496359</v>
      </c>
      <c r="BA62" s="62">
        <f t="shared" si="35"/>
        <v>2228.2203302496359</v>
      </c>
      <c r="BB62" s="62">
        <f t="shared" si="35"/>
        <v>2228.2203302496359</v>
      </c>
      <c r="BC62" s="62">
        <f t="shared" si="35"/>
        <v>2228.2203302496359</v>
      </c>
      <c r="BD62" s="62">
        <f t="shared" si="35"/>
        <v>2228.2203302496359</v>
      </c>
      <c r="BE62" s="62">
        <f t="shared" si="35"/>
        <v>2228.2203302496359</v>
      </c>
      <c r="BF62" s="62">
        <f t="shared" si="35"/>
        <v>2228.2203302496359</v>
      </c>
      <c r="BG62" s="62">
        <f t="shared" si="35"/>
        <v>2228.2203302496359</v>
      </c>
      <c r="BH62" s="62">
        <f t="shared" si="35"/>
        <v>2228.2203302496359</v>
      </c>
      <c r="BI62" s="62">
        <f t="shared" si="35"/>
        <v>2228.2203302496359</v>
      </c>
      <c r="BJ62" s="62">
        <f t="shared" si="35"/>
        <v>2228.2203302496359</v>
      </c>
      <c r="BK62" s="62">
        <f t="shared" si="35"/>
        <v>2228.2203302496359</v>
      </c>
      <c r="BL62" s="62">
        <f t="shared" si="35"/>
        <v>2305.6377357603728</v>
      </c>
      <c r="BM62" s="62">
        <f t="shared" si="35"/>
        <v>2305.6377357603728</v>
      </c>
      <c r="BN62" s="62">
        <f t="shared" si="35"/>
        <v>2305.6377357603728</v>
      </c>
      <c r="BO62" s="62">
        <f t="shared" si="35"/>
        <v>2305.6377357603728</v>
      </c>
      <c r="BP62" s="62">
        <f t="shared" si="35"/>
        <v>2305.6377357603728</v>
      </c>
      <c r="BQ62" s="62">
        <f t="shared" ref="BQ62:EB62" si="36">BQ60</f>
        <v>2305.6377357603728</v>
      </c>
      <c r="BR62" s="62">
        <f t="shared" si="36"/>
        <v>2305.6377357603728</v>
      </c>
      <c r="BS62" s="62">
        <f t="shared" si="36"/>
        <v>2305.6377357603728</v>
      </c>
      <c r="BT62" s="62">
        <f t="shared" si="36"/>
        <v>2305.6377357603728</v>
      </c>
      <c r="BU62" s="62">
        <f t="shared" si="36"/>
        <v>2305.6377357603728</v>
      </c>
      <c r="BV62" s="62">
        <f t="shared" si="36"/>
        <v>2305.6377357603728</v>
      </c>
      <c r="BW62" s="62">
        <f t="shared" si="36"/>
        <v>2305.6377357603728</v>
      </c>
      <c r="BX62" s="62">
        <f t="shared" si="36"/>
        <v>2385.7419382220655</v>
      </c>
      <c r="BY62" s="62">
        <f t="shared" si="36"/>
        <v>2385.7419382220655</v>
      </c>
      <c r="BZ62" s="62">
        <f t="shared" si="36"/>
        <v>2385.7419382220655</v>
      </c>
      <c r="CA62" s="62">
        <f t="shared" si="36"/>
        <v>2385.7419382220655</v>
      </c>
      <c r="CB62" s="62">
        <f t="shared" si="36"/>
        <v>2385.7419382220655</v>
      </c>
      <c r="CC62" s="62">
        <f t="shared" si="36"/>
        <v>2385.7419382220655</v>
      </c>
      <c r="CD62" s="62">
        <f t="shared" si="36"/>
        <v>2385.7419382220655</v>
      </c>
      <c r="CE62" s="62">
        <f t="shared" si="36"/>
        <v>2385.7419382220655</v>
      </c>
      <c r="CF62" s="62">
        <f t="shared" si="36"/>
        <v>2385.7419382220655</v>
      </c>
      <c r="CG62" s="62">
        <f t="shared" si="36"/>
        <v>2385.7419382220655</v>
      </c>
      <c r="CH62" s="62">
        <f t="shared" si="36"/>
        <v>2385.7419382220655</v>
      </c>
      <c r="CI62" s="62">
        <f t="shared" si="36"/>
        <v>2385.7419382220655</v>
      </c>
      <c r="CJ62" s="62">
        <f t="shared" si="36"/>
        <v>2468.6260630383208</v>
      </c>
      <c r="CK62" s="62">
        <f t="shared" si="36"/>
        <v>2468.6260630383208</v>
      </c>
      <c r="CL62" s="62">
        <f t="shared" si="36"/>
        <v>2468.6260630383208</v>
      </c>
      <c r="CM62" s="62">
        <f t="shared" si="36"/>
        <v>2468.6260630383208</v>
      </c>
      <c r="CN62" s="62">
        <f t="shared" si="36"/>
        <v>2468.6260630383208</v>
      </c>
      <c r="CO62" s="62">
        <f t="shared" si="36"/>
        <v>2468.6260630383208</v>
      </c>
      <c r="CP62" s="62">
        <f t="shared" si="36"/>
        <v>2468.6260630383208</v>
      </c>
      <c r="CQ62" s="62">
        <f t="shared" si="36"/>
        <v>2468.6260630383208</v>
      </c>
      <c r="CR62" s="62">
        <f t="shared" si="36"/>
        <v>2468.6260630383208</v>
      </c>
      <c r="CS62" s="62">
        <f t="shared" si="36"/>
        <v>2468.6260630383208</v>
      </c>
      <c r="CT62" s="62">
        <f t="shared" si="36"/>
        <v>2468.6260630383208</v>
      </c>
      <c r="CU62" s="62">
        <f t="shared" si="36"/>
        <v>2468.6260630383208</v>
      </c>
      <c r="CV62" s="62">
        <f t="shared" si="36"/>
        <v>2554.3864585022843</v>
      </c>
      <c r="CW62" s="62">
        <f t="shared" si="36"/>
        <v>2554.3864585022843</v>
      </c>
      <c r="CX62" s="62">
        <f t="shared" si="36"/>
        <v>2554.3864585022843</v>
      </c>
      <c r="CY62" s="62">
        <f t="shared" si="36"/>
        <v>2554.3864585022843</v>
      </c>
      <c r="CZ62" s="62">
        <f t="shared" si="36"/>
        <v>2554.3864585022843</v>
      </c>
      <c r="DA62" s="62">
        <f t="shared" si="36"/>
        <v>2554.3864585022843</v>
      </c>
      <c r="DB62" s="62">
        <f t="shared" si="36"/>
        <v>2554.3864585022843</v>
      </c>
      <c r="DC62" s="62">
        <f t="shared" si="36"/>
        <v>2554.3864585022843</v>
      </c>
      <c r="DD62" s="62">
        <f t="shared" si="36"/>
        <v>2554.3864585022843</v>
      </c>
      <c r="DE62" s="62">
        <f t="shared" si="36"/>
        <v>2554.3864585022843</v>
      </c>
      <c r="DF62" s="62">
        <f t="shared" si="36"/>
        <v>2554.3864585022843</v>
      </c>
      <c r="DG62" s="62">
        <f t="shared" si="36"/>
        <v>2554.3864585022843</v>
      </c>
      <c r="DH62" s="62">
        <f t="shared" si="36"/>
        <v>2643.1228071377914</v>
      </c>
      <c r="DI62" s="62">
        <f t="shared" si="36"/>
        <v>2643.1228071377914</v>
      </c>
      <c r="DJ62" s="62">
        <f t="shared" si="36"/>
        <v>2643.1228071377914</v>
      </c>
      <c r="DK62" s="62">
        <f t="shared" si="36"/>
        <v>2643.1228071377914</v>
      </c>
      <c r="DL62" s="62">
        <f t="shared" si="36"/>
        <v>2643.1228071377914</v>
      </c>
      <c r="DM62" s="62">
        <f t="shared" si="36"/>
        <v>2643.1228071377914</v>
      </c>
      <c r="DN62" s="62">
        <f t="shared" si="36"/>
        <v>2643.1228071377914</v>
      </c>
      <c r="DO62" s="62">
        <f t="shared" si="36"/>
        <v>2643.1228071377914</v>
      </c>
      <c r="DP62" s="62">
        <f t="shared" si="36"/>
        <v>2643.1228071377914</v>
      </c>
      <c r="DQ62" s="62">
        <f t="shared" si="36"/>
        <v>2643.1228071377914</v>
      </c>
      <c r="DR62" s="62">
        <f t="shared" si="36"/>
        <v>2643.1228071377914</v>
      </c>
      <c r="DS62" s="62">
        <f t="shared" si="36"/>
        <v>2643.1228071377914</v>
      </c>
      <c r="DT62" s="62">
        <f t="shared" si="36"/>
        <v>2734.9382408790584</v>
      </c>
      <c r="DU62" s="62">
        <f t="shared" si="36"/>
        <v>2734.9382408790584</v>
      </c>
      <c r="DV62" s="62">
        <f t="shared" si="36"/>
        <v>2734.9382408790584</v>
      </c>
      <c r="DW62" s="62">
        <f t="shared" si="36"/>
        <v>2734.9382408790584</v>
      </c>
      <c r="DX62" s="62">
        <f t="shared" si="36"/>
        <v>2734.9382408790584</v>
      </c>
      <c r="DY62" s="62">
        <f t="shared" si="36"/>
        <v>2734.9382408790584</v>
      </c>
      <c r="DZ62" s="62">
        <f t="shared" si="36"/>
        <v>2734.9382408790584</v>
      </c>
      <c r="EA62" s="62">
        <f t="shared" si="36"/>
        <v>2734.9382408790584</v>
      </c>
      <c r="EB62" s="62">
        <f t="shared" si="36"/>
        <v>2734.9382408790584</v>
      </c>
      <c r="EC62" s="62">
        <f t="shared" ref="EC62:GA62" si="37">EC60</f>
        <v>2734.9382408790584</v>
      </c>
      <c r="ED62" s="62">
        <f t="shared" si="37"/>
        <v>2734.9382408790584</v>
      </c>
      <c r="EE62" s="62">
        <f t="shared" si="37"/>
        <v>2734.9382408790584</v>
      </c>
      <c r="EF62" s="62">
        <f t="shared" si="37"/>
        <v>836.35884323616972</v>
      </c>
      <c r="EG62" s="62">
        <f t="shared" si="37"/>
        <v>836.35884323616972</v>
      </c>
      <c r="EH62" s="62">
        <f t="shared" si="37"/>
        <v>836.35884323616972</v>
      </c>
      <c r="EI62" s="62">
        <f t="shared" si="37"/>
        <v>836.35884323616972</v>
      </c>
      <c r="EJ62" s="62">
        <f t="shared" si="37"/>
        <v>836.35884323616972</v>
      </c>
      <c r="EK62" s="62">
        <f t="shared" si="37"/>
        <v>836.35884323616972</v>
      </c>
      <c r="EL62" s="62">
        <f t="shared" si="37"/>
        <v>836.35884323616972</v>
      </c>
      <c r="EM62" s="62">
        <f t="shared" si="37"/>
        <v>836.35884323616972</v>
      </c>
      <c r="EN62" s="62">
        <f t="shared" si="37"/>
        <v>836.35884323616972</v>
      </c>
      <c r="EO62" s="62">
        <f t="shared" si="37"/>
        <v>836.35884323616972</v>
      </c>
      <c r="EP62" s="62">
        <f t="shared" si="37"/>
        <v>836.35884323616972</v>
      </c>
      <c r="EQ62" s="62">
        <f t="shared" si="37"/>
        <v>836.35884323616972</v>
      </c>
      <c r="ER62" s="62">
        <f t="shared" si="37"/>
        <v>2928.2368574762058</v>
      </c>
      <c r="ES62" s="62">
        <f t="shared" si="37"/>
        <v>2928.2368574762058</v>
      </c>
      <c r="ET62" s="62">
        <f t="shared" si="37"/>
        <v>2928.2368574762058</v>
      </c>
      <c r="EU62" s="62">
        <f t="shared" si="37"/>
        <v>2928.2368574762058</v>
      </c>
      <c r="EV62" s="62">
        <f t="shared" si="37"/>
        <v>2928.2368574762058</v>
      </c>
      <c r="EW62" s="62">
        <f t="shared" si="37"/>
        <v>2928.2368574762058</v>
      </c>
      <c r="EX62" s="62">
        <f t="shared" si="37"/>
        <v>2928.2368574762058</v>
      </c>
      <c r="EY62" s="62">
        <f t="shared" si="37"/>
        <v>2928.2368574762058</v>
      </c>
      <c r="EZ62" s="62">
        <f t="shared" si="37"/>
        <v>2928.2368574762058</v>
      </c>
      <c r="FA62" s="62">
        <f t="shared" si="37"/>
        <v>2928.2368574762058</v>
      </c>
      <c r="FB62" s="62">
        <f t="shared" si="37"/>
        <v>2928.2368574762058</v>
      </c>
      <c r="FC62" s="62">
        <f t="shared" si="37"/>
        <v>2928.2368574762058</v>
      </c>
      <c r="FD62" s="62">
        <f t="shared" si="37"/>
        <v>3029.944644281321</v>
      </c>
      <c r="FE62" s="62">
        <f t="shared" si="37"/>
        <v>3029.944644281321</v>
      </c>
      <c r="FF62" s="62">
        <f t="shared" si="37"/>
        <v>3029.944644281321</v>
      </c>
      <c r="FG62" s="62">
        <f t="shared" si="37"/>
        <v>3029.944644281321</v>
      </c>
      <c r="FH62" s="62">
        <f t="shared" si="37"/>
        <v>3029.944644281321</v>
      </c>
      <c r="FI62" s="62">
        <f t="shared" si="37"/>
        <v>3029.944644281321</v>
      </c>
      <c r="FJ62" s="62">
        <f t="shared" si="37"/>
        <v>3029.944644281321</v>
      </c>
      <c r="FK62" s="62">
        <f t="shared" si="37"/>
        <v>3029.944644281321</v>
      </c>
      <c r="FL62" s="62">
        <f t="shared" si="37"/>
        <v>3029.944644281321</v>
      </c>
      <c r="FM62" s="62">
        <f t="shared" si="37"/>
        <v>3029.944644281321</v>
      </c>
      <c r="FN62" s="62">
        <f t="shared" si="37"/>
        <v>3029.944644281321</v>
      </c>
      <c r="FO62" s="62">
        <f t="shared" si="37"/>
        <v>3029.944644281321</v>
      </c>
      <c r="FP62" s="62">
        <f t="shared" si="37"/>
        <v>3135.1809834963528</v>
      </c>
      <c r="FQ62" s="62">
        <f t="shared" si="37"/>
        <v>3135.1809834963528</v>
      </c>
      <c r="FR62" s="62">
        <f t="shared" si="37"/>
        <v>3135.1809834963528</v>
      </c>
      <c r="FS62" s="62">
        <f t="shared" si="37"/>
        <v>3135.1809834963528</v>
      </c>
      <c r="FT62" s="62">
        <f t="shared" si="37"/>
        <v>3135.1809834963528</v>
      </c>
      <c r="FU62" s="62">
        <f t="shared" si="37"/>
        <v>3135.1809834963528</v>
      </c>
      <c r="FV62" s="62">
        <f t="shared" si="37"/>
        <v>3135.1809834963528</v>
      </c>
      <c r="FW62" s="62">
        <f t="shared" si="37"/>
        <v>3135.1809834963528</v>
      </c>
      <c r="FX62" s="62">
        <f t="shared" si="37"/>
        <v>3135.1809834963528</v>
      </c>
      <c r="FY62" s="62">
        <f t="shared" si="37"/>
        <v>3135.1809834963528</v>
      </c>
      <c r="FZ62" s="62">
        <f t="shared" si="37"/>
        <v>3135.1809834963528</v>
      </c>
      <c r="GA62" s="420">
        <f t="shared" si="37"/>
        <v>3135.1809834963528</v>
      </c>
    </row>
    <row r="63" spans="1:183" x14ac:dyDescent="0.15">
      <c r="A63" s="279" t="s">
        <v>836</v>
      </c>
      <c r="C63" s="542"/>
      <c r="D63" s="62"/>
      <c r="E63" s="62"/>
      <c r="F63" s="62"/>
      <c r="G63" s="62"/>
      <c r="H63" s="62"/>
      <c r="I63" s="62"/>
      <c r="J63" s="62"/>
      <c r="K63" s="62"/>
      <c r="L63" s="62"/>
      <c r="M63" s="62"/>
      <c r="N63" s="62"/>
      <c r="O63" s="62"/>
      <c r="P63" s="62"/>
      <c r="Q63" s="62"/>
      <c r="R63" s="62"/>
      <c r="S63" s="62"/>
      <c r="T63" s="62"/>
      <c r="U63" s="62"/>
      <c r="V63" s="62"/>
      <c r="W63" s="62"/>
      <c r="X63" s="62"/>
      <c r="Y63" s="62"/>
      <c r="Z63" s="62"/>
      <c r="AA63" s="62"/>
      <c r="AB63" s="62"/>
      <c r="AC63" s="62"/>
      <c r="AD63" s="62"/>
      <c r="AE63" s="62"/>
      <c r="AF63" s="62"/>
      <c r="AG63" s="62"/>
      <c r="AH63" s="62"/>
      <c r="AI63" s="62"/>
      <c r="AJ63" s="62"/>
      <c r="AK63" s="62"/>
      <c r="AL63" s="62"/>
      <c r="AM63" s="62"/>
      <c r="AN63" s="62"/>
      <c r="AO63" s="62"/>
      <c r="AP63" s="62"/>
      <c r="AQ63" s="62"/>
      <c r="AR63" s="62"/>
      <c r="AS63" s="62"/>
      <c r="AT63" s="62"/>
      <c r="AU63" s="62"/>
      <c r="AV63" s="62"/>
      <c r="AW63" s="62"/>
      <c r="AX63" s="62"/>
      <c r="AY63" s="62"/>
      <c r="AZ63" s="62"/>
      <c r="BA63" s="62"/>
      <c r="BB63" s="62"/>
      <c r="BC63" s="62"/>
      <c r="BD63" s="62"/>
      <c r="BE63" s="62"/>
      <c r="BF63" s="62"/>
      <c r="BG63" s="62"/>
      <c r="BH63" s="62"/>
      <c r="BI63" s="62"/>
      <c r="BJ63" s="62"/>
      <c r="BK63" s="62">
        <f t="shared" ref="BK63:CP63" si="38">IF(BK56&lt;&gt;Cust_LeaseTermYears*12,0,Cust_TotalPymtAtTermEnd)</f>
        <v>0</v>
      </c>
      <c r="BL63" s="62">
        <f t="shared" si="38"/>
        <v>0</v>
      </c>
      <c r="BM63" s="62">
        <f t="shared" si="38"/>
        <v>0</v>
      </c>
      <c r="BN63" s="62">
        <f t="shared" si="38"/>
        <v>0</v>
      </c>
      <c r="BO63" s="62">
        <f t="shared" si="38"/>
        <v>0</v>
      </c>
      <c r="BP63" s="62">
        <f t="shared" si="38"/>
        <v>0</v>
      </c>
      <c r="BQ63" s="62">
        <f t="shared" si="38"/>
        <v>0</v>
      </c>
      <c r="BR63" s="62">
        <f t="shared" si="38"/>
        <v>0</v>
      </c>
      <c r="BS63" s="62">
        <f t="shared" si="38"/>
        <v>0</v>
      </c>
      <c r="BT63" s="62">
        <f t="shared" si="38"/>
        <v>0</v>
      </c>
      <c r="BU63" s="62">
        <f t="shared" si="38"/>
        <v>0</v>
      </c>
      <c r="BV63" s="62">
        <f t="shared" si="38"/>
        <v>0</v>
      </c>
      <c r="BW63" s="62">
        <f t="shared" si="38"/>
        <v>0</v>
      </c>
      <c r="BX63" s="62">
        <f t="shared" si="38"/>
        <v>0</v>
      </c>
      <c r="BY63" s="62">
        <f t="shared" si="38"/>
        <v>0</v>
      </c>
      <c r="BZ63" s="62">
        <f t="shared" si="38"/>
        <v>0</v>
      </c>
      <c r="CA63" s="62">
        <f t="shared" si="38"/>
        <v>0</v>
      </c>
      <c r="CB63" s="62">
        <f t="shared" si="38"/>
        <v>0</v>
      </c>
      <c r="CC63" s="62">
        <f t="shared" si="38"/>
        <v>0</v>
      </c>
      <c r="CD63" s="62">
        <f t="shared" si="38"/>
        <v>0</v>
      </c>
      <c r="CE63" s="62">
        <f t="shared" si="38"/>
        <v>0</v>
      </c>
      <c r="CF63" s="62">
        <f t="shared" si="38"/>
        <v>0</v>
      </c>
      <c r="CG63" s="62">
        <f t="shared" si="38"/>
        <v>0</v>
      </c>
      <c r="CH63" s="62">
        <f t="shared" si="38"/>
        <v>0</v>
      </c>
      <c r="CI63" s="62">
        <f t="shared" si="38"/>
        <v>0</v>
      </c>
      <c r="CJ63" s="62">
        <f t="shared" si="38"/>
        <v>0</v>
      </c>
      <c r="CK63" s="62">
        <f t="shared" si="38"/>
        <v>0</v>
      </c>
      <c r="CL63" s="62">
        <f t="shared" si="38"/>
        <v>0</v>
      </c>
      <c r="CM63" s="62">
        <f t="shared" si="38"/>
        <v>0</v>
      </c>
      <c r="CN63" s="62">
        <f t="shared" si="38"/>
        <v>0</v>
      </c>
      <c r="CO63" s="62">
        <f t="shared" si="38"/>
        <v>0</v>
      </c>
      <c r="CP63" s="62">
        <f t="shared" si="38"/>
        <v>0</v>
      </c>
      <c r="CQ63" s="62">
        <f t="shared" ref="CQ63:DV63" si="39">IF(CQ56&lt;&gt;Cust_LeaseTermYears*12,0,Cust_TotalPymtAtTermEnd)</f>
        <v>0</v>
      </c>
      <c r="CR63" s="62">
        <f t="shared" si="39"/>
        <v>0</v>
      </c>
      <c r="CS63" s="62">
        <f t="shared" si="39"/>
        <v>0</v>
      </c>
      <c r="CT63" s="62">
        <f t="shared" si="39"/>
        <v>0</v>
      </c>
      <c r="CU63" s="62">
        <f t="shared" si="39"/>
        <v>0</v>
      </c>
      <c r="CV63" s="62">
        <f t="shared" si="39"/>
        <v>0</v>
      </c>
      <c r="CW63" s="62">
        <f t="shared" si="39"/>
        <v>0</v>
      </c>
      <c r="CX63" s="62">
        <f t="shared" si="39"/>
        <v>0</v>
      </c>
      <c r="CY63" s="62">
        <f t="shared" si="39"/>
        <v>0</v>
      </c>
      <c r="CZ63" s="62">
        <f t="shared" si="39"/>
        <v>0</v>
      </c>
      <c r="DA63" s="62">
        <f t="shared" si="39"/>
        <v>0</v>
      </c>
      <c r="DB63" s="62">
        <f t="shared" si="39"/>
        <v>0</v>
      </c>
      <c r="DC63" s="62">
        <f t="shared" si="39"/>
        <v>0</v>
      </c>
      <c r="DD63" s="62">
        <f t="shared" si="39"/>
        <v>0</v>
      </c>
      <c r="DE63" s="62">
        <f t="shared" si="39"/>
        <v>0</v>
      </c>
      <c r="DF63" s="62">
        <f t="shared" si="39"/>
        <v>0</v>
      </c>
      <c r="DG63" s="62">
        <f t="shared" si="39"/>
        <v>0</v>
      </c>
      <c r="DH63" s="62">
        <f t="shared" si="39"/>
        <v>0</v>
      </c>
      <c r="DI63" s="62">
        <f t="shared" si="39"/>
        <v>0</v>
      </c>
      <c r="DJ63" s="62">
        <f t="shared" si="39"/>
        <v>0</v>
      </c>
      <c r="DK63" s="62">
        <f t="shared" si="39"/>
        <v>0</v>
      </c>
      <c r="DL63" s="62">
        <f t="shared" si="39"/>
        <v>0</v>
      </c>
      <c r="DM63" s="62">
        <f t="shared" si="39"/>
        <v>0</v>
      </c>
      <c r="DN63" s="62">
        <f t="shared" si="39"/>
        <v>0</v>
      </c>
      <c r="DO63" s="62">
        <f t="shared" si="39"/>
        <v>0</v>
      </c>
      <c r="DP63" s="62">
        <f t="shared" si="39"/>
        <v>0</v>
      </c>
      <c r="DQ63" s="62">
        <f t="shared" si="39"/>
        <v>0</v>
      </c>
      <c r="DR63" s="62">
        <f t="shared" si="39"/>
        <v>0</v>
      </c>
      <c r="DS63" s="62">
        <f t="shared" si="39"/>
        <v>0</v>
      </c>
      <c r="DT63" s="62">
        <f t="shared" si="39"/>
        <v>0</v>
      </c>
      <c r="DU63" s="62">
        <f t="shared" si="39"/>
        <v>0</v>
      </c>
      <c r="DV63" s="62">
        <f t="shared" si="39"/>
        <v>0</v>
      </c>
      <c r="DW63" s="62">
        <f t="shared" ref="DW63:FB63" si="40">IF(DW56&lt;&gt;Cust_LeaseTermYears*12,0,Cust_TotalPymtAtTermEnd)</f>
        <v>0</v>
      </c>
      <c r="DX63" s="62">
        <f t="shared" si="40"/>
        <v>0</v>
      </c>
      <c r="DY63" s="62">
        <f t="shared" si="40"/>
        <v>0</v>
      </c>
      <c r="DZ63" s="62">
        <f t="shared" si="40"/>
        <v>0</v>
      </c>
      <c r="EA63" s="62">
        <f t="shared" si="40"/>
        <v>0</v>
      </c>
      <c r="EB63" s="62">
        <f t="shared" si="40"/>
        <v>0</v>
      </c>
      <c r="EC63" s="62">
        <f t="shared" si="40"/>
        <v>0</v>
      </c>
      <c r="ED63" s="62">
        <f t="shared" si="40"/>
        <v>0</v>
      </c>
      <c r="EE63" s="62">
        <f t="shared" si="40"/>
        <v>0</v>
      </c>
      <c r="EF63" s="62">
        <f t="shared" si="40"/>
        <v>0</v>
      </c>
      <c r="EG63" s="62">
        <f t="shared" si="40"/>
        <v>0</v>
      </c>
      <c r="EH63" s="62">
        <f t="shared" si="40"/>
        <v>0</v>
      </c>
      <c r="EI63" s="62">
        <f t="shared" si="40"/>
        <v>0</v>
      </c>
      <c r="EJ63" s="62">
        <f t="shared" si="40"/>
        <v>0</v>
      </c>
      <c r="EK63" s="62">
        <f t="shared" si="40"/>
        <v>0</v>
      </c>
      <c r="EL63" s="62">
        <f t="shared" si="40"/>
        <v>0</v>
      </c>
      <c r="EM63" s="62">
        <f t="shared" si="40"/>
        <v>0</v>
      </c>
      <c r="EN63" s="62">
        <f t="shared" si="40"/>
        <v>0</v>
      </c>
      <c r="EO63" s="62">
        <f t="shared" si="40"/>
        <v>0</v>
      </c>
      <c r="EP63" s="62">
        <f t="shared" si="40"/>
        <v>0</v>
      </c>
      <c r="EQ63" s="62">
        <f t="shared" si="40"/>
        <v>0</v>
      </c>
      <c r="ER63" s="62">
        <f t="shared" si="40"/>
        <v>0</v>
      </c>
      <c r="ES63" s="62">
        <f t="shared" si="40"/>
        <v>0</v>
      </c>
      <c r="ET63" s="62">
        <f t="shared" si="40"/>
        <v>0</v>
      </c>
      <c r="EU63" s="62">
        <f t="shared" si="40"/>
        <v>0</v>
      </c>
      <c r="EV63" s="62">
        <f t="shared" si="40"/>
        <v>0</v>
      </c>
      <c r="EW63" s="62">
        <f t="shared" si="40"/>
        <v>0</v>
      </c>
      <c r="EX63" s="62">
        <f t="shared" si="40"/>
        <v>0</v>
      </c>
      <c r="EY63" s="62">
        <f t="shared" si="40"/>
        <v>0</v>
      </c>
      <c r="EZ63" s="62">
        <f t="shared" si="40"/>
        <v>0</v>
      </c>
      <c r="FA63" s="62">
        <f t="shared" si="40"/>
        <v>0</v>
      </c>
      <c r="FB63" s="62">
        <f t="shared" si="40"/>
        <v>0</v>
      </c>
      <c r="FC63" s="62">
        <f t="shared" ref="FC63:GA63" si="41">IF(FC56&lt;&gt;Cust_LeaseTermYears*12,0,Cust_TotalPymtAtTermEnd)</f>
        <v>0</v>
      </c>
      <c r="FD63" s="62">
        <f t="shared" si="41"/>
        <v>0</v>
      </c>
      <c r="FE63" s="62">
        <f t="shared" si="41"/>
        <v>0</v>
      </c>
      <c r="FF63" s="62">
        <f t="shared" si="41"/>
        <v>0</v>
      </c>
      <c r="FG63" s="62">
        <f t="shared" si="41"/>
        <v>0</v>
      </c>
      <c r="FH63" s="62">
        <f t="shared" si="41"/>
        <v>0</v>
      </c>
      <c r="FI63" s="62">
        <f t="shared" si="41"/>
        <v>0</v>
      </c>
      <c r="FJ63" s="62">
        <f t="shared" si="41"/>
        <v>0</v>
      </c>
      <c r="FK63" s="62">
        <f t="shared" si="41"/>
        <v>0</v>
      </c>
      <c r="FL63" s="62">
        <f t="shared" si="41"/>
        <v>0</v>
      </c>
      <c r="FM63" s="62">
        <f t="shared" si="41"/>
        <v>0</v>
      </c>
      <c r="FN63" s="62">
        <f t="shared" si="41"/>
        <v>0</v>
      </c>
      <c r="FO63" s="62">
        <f t="shared" si="41"/>
        <v>0</v>
      </c>
      <c r="FP63" s="62">
        <f t="shared" si="41"/>
        <v>0</v>
      </c>
      <c r="FQ63" s="62">
        <f t="shared" si="41"/>
        <v>0</v>
      </c>
      <c r="FR63" s="62">
        <f t="shared" si="41"/>
        <v>0</v>
      </c>
      <c r="FS63" s="62">
        <f t="shared" si="41"/>
        <v>0</v>
      </c>
      <c r="FT63" s="62">
        <f t="shared" si="41"/>
        <v>0</v>
      </c>
      <c r="FU63" s="62">
        <f t="shared" si="41"/>
        <v>0</v>
      </c>
      <c r="FV63" s="62">
        <f t="shared" si="41"/>
        <v>0</v>
      </c>
      <c r="FW63" s="62">
        <f t="shared" si="41"/>
        <v>0</v>
      </c>
      <c r="FX63" s="62">
        <f t="shared" si="41"/>
        <v>0</v>
      </c>
      <c r="FY63" s="62">
        <f t="shared" si="41"/>
        <v>0</v>
      </c>
      <c r="FZ63" s="62">
        <f t="shared" si="41"/>
        <v>0</v>
      </c>
      <c r="GA63" s="420">
        <f t="shared" si="41"/>
        <v>100</v>
      </c>
    </row>
    <row r="64" spans="1:183" x14ac:dyDescent="0.15">
      <c r="A64" s="547" t="s">
        <v>297</v>
      </c>
      <c r="C64" s="543">
        <f>-C28</f>
        <v>-130617.06070399999</v>
      </c>
      <c r="D64" s="544">
        <f t="shared" ref="D64:BJ64" si="42">D60+D63</f>
        <v>1943.663042983809</v>
      </c>
      <c r="E64" s="544">
        <f t="shared" si="42"/>
        <v>1943.663042983809</v>
      </c>
      <c r="F64" s="544">
        <f t="shared" si="42"/>
        <v>1943.663042983809</v>
      </c>
      <c r="G64" s="544">
        <f t="shared" si="42"/>
        <v>1943.663042983809</v>
      </c>
      <c r="H64" s="544">
        <f t="shared" si="42"/>
        <v>1943.663042983809</v>
      </c>
      <c r="I64" s="544">
        <f t="shared" si="42"/>
        <v>1943.663042983809</v>
      </c>
      <c r="J64" s="544">
        <f t="shared" si="42"/>
        <v>1943.663042983809</v>
      </c>
      <c r="K64" s="544">
        <f t="shared" si="42"/>
        <v>1943.663042983809</v>
      </c>
      <c r="L64" s="544">
        <f t="shared" si="42"/>
        <v>1943.663042983809</v>
      </c>
      <c r="M64" s="544">
        <f t="shared" si="42"/>
        <v>1943.663042983809</v>
      </c>
      <c r="N64" s="544">
        <f t="shared" si="42"/>
        <v>1943.663042983809</v>
      </c>
      <c r="O64" s="544">
        <f t="shared" si="42"/>
        <v>1943.663042983809</v>
      </c>
      <c r="P64" s="544">
        <f t="shared" si="42"/>
        <v>2011.2037494882422</v>
      </c>
      <c r="Q64" s="544">
        <f t="shared" si="42"/>
        <v>2011.2037494882422</v>
      </c>
      <c r="R64" s="544">
        <f t="shared" si="42"/>
        <v>2011.2037494882422</v>
      </c>
      <c r="S64" s="544">
        <f t="shared" si="42"/>
        <v>2011.2037494882422</v>
      </c>
      <c r="T64" s="544">
        <f t="shared" si="42"/>
        <v>2011.2037494882422</v>
      </c>
      <c r="U64" s="544">
        <f t="shared" si="42"/>
        <v>2011.2037494882422</v>
      </c>
      <c r="V64" s="544">
        <f t="shared" si="42"/>
        <v>2011.2037494882422</v>
      </c>
      <c r="W64" s="544">
        <f t="shared" si="42"/>
        <v>2011.2037494882422</v>
      </c>
      <c r="X64" s="544">
        <f t="shared" si="42"/>
        <v>2011.2037494882422</v>
      </c>
      <c r="Y64" s="544">
        <f t="shared" si="42"/>
        <v>2011.2037494882422</v>
      </c>
      <c r="Z64" s="544">
        <f t="shared" si="42"/>
        <v>2011.2037494882422</v>
      </c>
      <c r="AA64" s="544">
        <f t="shared" si="42"/>
        <v>2011.2037494882422</v>
      </c>
      <c r="AB64" s="544">
        <f t="shared" si="42"/>
        <v>2081.0888807203305</v>
      </c>
      <c r="AC64" s="544">
        <f t="shared" si="42"/>
        <v>2081.0888807203305</v>
      </c>
      <c r="AD64" s="544">
        <f t="shared" si="42"/>
        <v>2081.0888807203305</v>
      </c>
      <c r="AE64" s="544">
        <f t="shared" si="42"/>
        <v>2081.0888807203305</v>
      </c>
      <c r="AF64" s="544">
        <f t="shared" si="42"/>
        <v>2081.0888807203305</v>
      </c>
      <c r="AG64" s="544">
        <f t="shared" si="42"/>
        <v>2081.0888807203305</v>
      </c>
      <c r="AH64" s="544">
        <f t="shared" si="42"/>
        <v>2081.0888807203305</v>
      </c>
      <c r="AI64" s="544">
        <f t="shared" si="42"/>
        <v>2081.0888807203305</v>
      </c>
      <c r="AJ64" s="544">
        <f t="shared" si="42"/>
        <v>2081.0888807203305</v>
      </c>
      <c r="AK64" s="544">
        <f t="shared" si="42"/>
        <v>2081.0888807203305</v>
      </c>
      <c r="AL64" s="544">
        <f t="shared" si="42"/>
        <v>2081.0888807203305</v>
      </c>
      <c r="AM64" s="544">
        <f t="shared" si="42"/>
        <v>2081.0888807203305</v>
      </c>
      <c r="AN64" s="544">
        <f t="shared" si="42"/>
        <v>2153.3997115455418</v>
      </c>
      <c r="AO64" s="544">
        <f t="shared" si="42"/>
        <v>2153.3997115455418</v>
      </c>
      <c r="AP64" s="544">
        <f t="shared" si="42"/>
        <v>2153.3997115455418</v>
      </c>
      <c r="AQ64" s="544">
        <f t="shared" si="42"/>
        <v>2153.3997115455418</v>
      </c>
      <c r="AR64" s="544">
        <f t="shared" si="42"/>
        <v>2153.3997115455418</v>
      </c>
      <c r="AS64" s="544">
        <f t="shared" si="42"/>
        <v>2153.3997115455418</v>
      </c>
      <c r="AT64" s="544">
        <f t="shared" si="42"/>
        <v>2153.3997115455418</v>
      </c>
      <c r="AU64" s="544">
        <f t="shared" si="42"/>
        <v>2153.3997115455418</v>
      </c>
      <c r="AV64" s="544">
        <f t="shared" si="42"/>
        <v>2153.3997115455418</v>
      </c>
      <c r="AW64" s="544">
        <f t="shared" si="42"/>
        <v>2153.3997115455418</v>
      </c>
      <c r="AX64" s="544">
        <f t="shared" si="42"/>
        <v>2153.3997115455418</v>
      </c>
      <c r="AY64" s="544">
        <f t="shared" si="42"/>
        <v>2153.3997115455418</v>
      </c>
      <c r="AZ64" s="544">
        <f t="shared" si="42"/>
        <v>2228.2203302496359</v>
      </c>
      <c r="BA64" s="544">
        <f t="shared" si="42"/>
        <v>2228.2203302496359</v>
      </c>
      <c r="BB64" s="544">
        <f t="shared" si="42"/>
        <v>2228.2203302496359</v>
      </c>
      <c r="BC64" s="544">
        <f t="shared" si="42"/>
        <v>2228.2203302496359</v>
      </c>
      <c r="BD64" s="544">
        <f t="shared" si="42"/>
        <v>2228.2203302496359</v>
      </c>
      <c r="BE64" s="544">
        <f t="shared" si="42"/>
        <v>2228.2203302496359</v>
      </c>
      <c r="BF64" s="544">
        <f t="shared" si="42"/>
        <v>2228.2203302496359</v>
      </c>
      <c r="BG64" s="544">
        <f t="shared" si="42"/>
        <v>2228.2203302496359</v>
      </c>
      <c r="BH64" s="544">
        <f t="shared" si="42"/>
        <v>2228.2203302496359</v>
      </c>
      <c r="BI64" s="544">
        <f t="shared" si="42"/>
        <v>2228.2203302496359</v>
      </c>
      <c r="BJ64" s="544">
        <f t="shared" si="42"/>
        <v>2228.2203302496359</v>
      </c>
      <c r="BK64" s="544">
        <f>BK60+BK63</f>
        <v>2228.2203302496359</v>
      </c>
      <c r="BL64" s="544">
        <f t="shared" ref="BL64:DW64" si="43">BL60+BL63</f>
        <v>2305.6377357603728</v>
      </c>
      <c r="BM64" s="544">
        <f t="shared" si="43"/>
        <v>2305.6377357603728</v>
      </c>
      <c r="BN64" s="544">
        <f t="shared" si="43"/>
        <v>2305.6377357603728</v>
      </c>
      <c r="BO64" s="544">
        <f t="shared" si="43"/>
        <v>2305.6377357603728</v>
      </c>
      <c r="BP64" s="544">
        <f t="shared" si="43"/>
        <v>2305.6377357603728</v>
      </c>
      <c r="BQ64" s="544">
        <f t="shared" si="43"/>
        <v>2305.6377357603728</v>
      </c>
      <c r="BR64" s="544">
        <f t="shared" si="43"/>
        <v>2305.6377357603728</v>
      </c>
      <c r="BS64" s="544">
        <f t="shared" si="43"/>
        <v>2305.6377357603728</v>
      </c>
      <c r="BT64" s="544">
        <f t="shared" si="43"/>
        <v>2305.6377357603728</v>
      </c>
      <c r="BU64" s="544">
        <f t="shared" si="43"/>
        <v>2305.6377357603728</v>
      </c>
      <c r="BV64" s="544">
        <f t="shared" si="43"/>
        <v>2305.6377357603728</v>
      </c>
      <c r="BW64" s="544">
        <f t="shared" si="43"/>
        <v>2305.6377357603728</v>
      </c>
      <c r="BX64" s="544">
        <f t="shared" si="43"/>
        <v>2385.7419382220655</v>
      </c>
      <c r="BY64" s="544">
        <f t="shared" si="43"/>
        <v>2385.7419382220655</v>
      </c>
      <c r="BZ64" s="544">
        <f t="shared" si="43"/>
        <v>2385.7419382220655</v>
      </c>
      <c r="CA64" s="544">
        <f t="shared" si="43"/>
        <v>2385.7419382220655</v>
      </c>
      <c r="CB64" s="544">
        <f t="shared" si="43"/>
        <v>2385.7419382220655</v>
      </c>
      <c r="CC64" s="544">
        <f t="shared" si="43"/>
        <v>2385.7419382220655</v>
      </c>
      <c r="CD64" s="544">
        <f t="shared" si="43"/>
        <v>2385.7419382220655</v>
      </c>
      <c r="CE64" s="544">
        <f t="shared" si="43"/>
        <v>2385.7419382220655</v>
      </c>
      <c r="CF64" s="544">
        <f t="shared" si="43"/>
        <v>2385.7419382220655</v>
      </c>
      <c r="CG64" s="544">
        <f t="shared" si="43"/>
        <v>2385.7419382220655</v>
      </c>
      <c r="CH64" s="544">
        <f t="shared" si="43"/>
        <v>2385.7419382220655</v>
      </c>
      <c r="CI64" s="544">
        <f t="shared" si="43"/>
        <v>2385.7419382220655</v>
      </c>
      <c r="CJ64" s="544">
        <f t="shared" si="43"/>
        <v>2468.6260630383208</v>
      </c>
      <c r="CK64" s="544">
        <f t="shared" si="43"/>
        <v>2468.6260630383208</v>
      </c>
      <c r="CL64" s="544">
        <f t="shared" si="43"/>
        <v>2468.6260630383208</v>
      </c>
      <c r="CM64" s="544">
        <f t="shared" si="43"/>
        <v>2468.6260630383208</v>
      </c>
      <c r="CN64" s="544">
        <f t="shared" si="43"/>
        <v>2468.6260630383208</v>
      </c>
      <c r="CO64" s="544">
        <f t="shared" si="43"/>
        <v>2468.6260630383208</v>
      </c>
      <c r="CP64" s="544">
        <f t="shared" si="43"/>
        <v>2468.6260630383208</v>
      </c>
      <c r="CQ64" s="544">
        <f t="shared" si="43"/>
        <v>2468.6260630383208</v>
      </c>
      <c r="CR64" s="544">
        <f t="shared" si="43"/>
        <v>2468.6260630383208</v>
      </c>
      <c r="CS64" s="544">
        <f t="shared" si="43"/>
        <v>2468.6260630383208</v>
      </c>
      <c r="CT64" s="544">
        <f t="shared" si="43"/>
        <v>2468.6260630383208</v>
      </c>
      <c r="CU64" s="544">
        <f t="shared" si="43"/>
        <v>2468.6260630383208</v>
      </c>
      <c r="CV64" s="544">
        <f t="shared" si="43"/>
        <v>2554.3864585022843</v>
      </c>
      <c r="CW64" s="544">
        <f t="shared" si="43"/>
        <v>2554.3864585022843</v>
      </c>
      <c r="CX64" s="544">
        <f t="shared" si="43"/>
        <v>2554.3864585022843</v>
      </c>
      <c r="CY64" s="544">
        <f t="shared" si="43"/>
        <v>2554.3864585022843</v>
      </c>
      <c r="CZ64" s="544">
        <f t="shared" si="43"/>
        <v>2554.3864585022843</v>
      </c>
      <c r="DA64" s="544">
        <f t="shared" si="43"/>
        <v>2554.3864585022843</v>
      </c>
      <c r="DB64" s="544">
        <f t="shared" si="43"/>
        <v>2554.3864585022843</v>
      </c>
      <c r="DC64" s="544">
        <f t="shared" si="43"/>
        <v>2554.3864585022843</v>
      </c>
      <c r="DD64" s="544">
        <f t="shared" si="43"/>
        <v>2554.3864585022843</v>
      </c>
      <c r="DE64" s="544">
        <f t="shared" si="43"/>
        <v>2554.3864585022843</v>
      </c>
      <c r="DF64" s="544">
        <f t="shared" si="43"/>
        <v>2554.3864585022843</v>
      </c>
      <c r="DG64" s="544">
        <f t="shared" si="43"/>
        <v>2554.3864585022843</v>
      </c>
      <c r="DH64" s="544">
        <f t="shared" si="43"/>
        <v>2643.1228071377914</v>
      </c>
      <c r="DI64" s="544">
        <f t="shared" si="43"/>
        <v>2643.1228071377914</v>
      </c>
      <c r="DJ64" s="544">
        <f t="shared" si="43"/>
        <v>2643.1228071377914</v>
      </c>
      <c r="DK64" s="544">
        <f t="shared" si="43"/>
        <v>2643.1228071377914</v>
      </c>
      <c r="DL64" s="544">
        <f t="shared" si="43"/>
        <v>2643.1228071377914</v>
      </c>
      <c r="DM64" s="544">
        <f t="shared" si="43"/>
        <v>2643.1228071377914</v>
      </c>
      <c r="DN64" s="544">
        <f t="shared" si="43"/>
        <v>2643.1228071377914</v>
      </c>
      <c r="DO64" s="544">
        <f t="shared" si="43"/>
        <v>2643.1228071377914</v>
      </c>
      <c r="DP64" s="544">
        <f t="shared" si="43"/>
        <v>2643.1228071377914</v>
      </c>
      <c r="DQ64" s="544">
        <f t="shared" si="43"/>
        <v>2643.1228071377914</v>
      </c>
      <c r="DR64" s="544">
        <f t="shared" si="43"/>
        <v>2643.1228071377914</v>
      </c>
      <c r="DS64" s="544">
        <f t="shared" si="43"/>
        <v>2643.1228071377914</v>
      </c>
      <c r="DT64" s="544">
        <f t="shared" si="43"/>
        <v>2734.9382408790584</v>
      </c>
      <c r="DU64" s="544">
        <f t="shared" si="43"/>
        <v>2734.9382408790584</v>
      </c>
      <c r="DV64" s="544">
        <f t="shared" si="43"/>
        <v>2734.9382408790584</v>
      </c>
      <c r="DW64" s="544">
        <f t="shared" si="43"/>
        <v>2734.9382408790584</v>
      </c>
      <c r="DX64" s="544">
        <f t="shared" ref="DX64:GA64" si="44">DX60+DX63</f>
        <v>2734.9382408790584</v>
      </c>
      <c r="DY64" s="544">
        <f t="shared" si="44"/>
        <v>2734.9382408790584</v>
      </c>
      <c r="DZ64" s="544">
        <f t="shared" si="44"/>
        <v>2734.9382408790584</v>
      </c>
      <c r="EA64" s="544">
        <f t="shared" si="44"/>
        <v>2734.9382408790584</v>
      </c>
      <c r="EB64" s="544">
        <f t="shared" si="44"/>
        <v>2734.9382408790584</v>
      </c>
      <c r="EC64" s="544">
        <f t="shared" si="44"/>
        <v>2734.9382408790584</v>
      </c>
      <c r="ED64" s="544">
        <f t="shared" si="44"/>
        <v>2734.9382408790584</v>
      </c>
      <c r="EE64" s="544">
        <f t="shared" si="44"/>
        <v>2734.9382408790584</v>
      </c>
      <c r="EF64" s="544">
        <f t="shared" si="44"/>
        <v>836.35884323616972</v>
      </c>
      <c r="EG64" s="544">
        <f t="shared" si="44"/>
        <v>836.35884323616972</v>
      </c>
      <c r="EH64" s="544">
        <f t="shared" si="44"/>
        <v>836.35884323616972</v>
      </c>
      <c r="EI64" s="544">
        <f t="shared" si="44"/>
        <v>836.35884323616972</v>
      </c>
      <c r="EJ64" s="544">
        <f t="shared" si="44"/>
        <v>836.35884323616972</v>
      </c>
      <c r="EK64" s="544">
        <f t="shared" si="44"/>
        <v>836.35884323616972</v>
      </c>
      <c r="EL64" s="544">
        <f t="shared" si="44"/>
        <v>836.35884323616972</v>
      </c>
      <c r="EM64" s="544">
        <f t="shared" si="44"/>
        <v>836.35884323616972</v>
      </c>
      <c r="EN64" s="544">
        <f t="shared" si="44"/>
        <v>836.35884323616972</v>
      </c>
      <c r="EO64" s="544">
        <f t="shared" si="44"/>
        <v>836.35884323616972</v>
      </c>
      <c r="EP64" s="544">
        <f t="shared" si="44"/>
        <v>836.35884323616972</v>
      </c>
      <c r="EQ64" s="544">
        <f t="shared" si="44"/>
        <v>836.35884323616972</v>
      </c>
      <c r="ER64" s="544">
        <f t="shared" si="44"/>
        <v>2928.2368574762058</v>
      </c>
      <c r="ES64" s="544">
        <f t="shared" si="44"/>
        <v>2928.2368574762058</v>
      </c>
      <c r="ET64" s="544">
        <f t="shared" si="44"/>
        <v>2928.2368574762058</v>
      </c>
      <c r="EU64" s="544">
        <f t="shared" si="44"/>
        <v>2928.2368574762058</v>
      </c>
      <c r="EV64" s="544">
        <f t="shared" si="44"/>
        <v>2928.2368574762058</v>
      </c>
      <c r="EW64" s="544">
        <f t="shared" si="44"/>
        <v>2928.2368574762058</v>
      </c>
      <c r="EX64" s="544">
        <f t="shared" si="44"/>
        <v>2928.2368574762058</v>
      </c>
      <c r="EY64" s="544">
        <f t="shared" si="44"/>
        <v>2928.2368574762058</v>
      </c>
      <c r="EZ64" s="544">
        <f t="shared" si="44"/>
        <v>2928.2368574762058</v>
      </c>
      <c r="FA64" s="544">
        <f t="shared" si="44"/>
        <v>2928.2368574762058</v>
      </c>
      <c r="FB64" s="544">
        <f t="shared" si="44"/>
        <v>2928.2368574762058</v>
      </c>
      <c r="FC64" s="544">
        <f t="shared" si="44"/>
        <v>2928.2368574762058</v>
      </c>
      <c r="FD64" s="544">
        <f t="shared" si="44"/>
        <v>3029.944644281321</v>
      </c>
      <c r="FE64" s="544">
        <f t="shared" si="44"/>
        <v>3029.944644281321</v>
      </c>
      <c r="FF64" s="544">
        <f t="shared" si="44"/>
        <v>3029.944644281321</v>
      </c>
      <c r="FG64" s="544">
        <f t="shared" si="44"/>
        <v>3029.944644281321</v>
      </c>
      <c r="FH64" s="544">
        <f t="shared" si="44"/>
        <v>3029.944644281321</v>
      </c>
      <c r="FI64" s="544">
        <f t="shared" si="44"/>
        <v>3029.944644281321</v>
      </c>
      <c r="FJ64" s="544">
        <f t="shared" si="44"/>
        <v>3029.944644281321</v>
      </c>
      <c r="FK64" s="544">
        <f t="shared" si="44"/>
        <v>3029.944644281321</v>
      </c>
      <c r="FL64" s="544">
        <f t="shared" si="44"/>
        <v>3029.944644281321</v>
      </c>
      <c r="FM64" s="544">
        <f t="shared" si="44"/>
        <v>3029.944644281321</v>
      </c>
      <c r="FN64" s="544">
        <f t="shared" si="44"/>
        <v>3029.944644281321</v>
      </c>
      <c r="FO64" s="544">
        <f t="shared" si="44"/>
        <v>3029.944644281321</v>
      </c>
      <c r="FP64" s="544">
        <f t="shared" si="44"/>
        <v>3135.1809834963528</v>
      </c>
      <c r="FQ64" s="544">
        <f t="shared" si="44"/>
        <v>3135.1809834963528</v>
      </c>
      <c r="FR64" s="544">
        <f t="shared" si="44"/>
        <v>3135.1809834963528</v>
      </c>
      <c r="FS64" s="544">
        <f t="shared" si="44"/>
        <v>3135.1809834963528</v>
      </c>
      <c r="FT64" s="544">
        <f t="shared" si="44"/>
        <v>3135.1809834963528</v>
      </c>
      <c r="FU64" s="544">
        <f t="shared" si="44"/>
        <v>3135.1809834963528</v>
      </c>
      <c r="FV64" s="544">
        <f t="shared" si="44"/>
        <v>3135.1809834963528</v>
      </c>
      <c r="FW64" s="544">
        <f t="shared" si="44"/>
        <v>3135.1809834963528</v>
      </c>
      <c r="FX64" s="544">
        <f t="shared" si="44"/>
        <v>3135.1809834963528</v>
      </c>
      <c r="FY64" s="544">
        <f t="shared" si="44"/>
        <v>3135.1809834963528</v>
      </c>
      <c r="FZ64" s="544">
        <f t="shared" si="44"/>
        <v>3135.1809834963528</v>
      </c>
      <c r="GA64" s="545">
        <f t="shared" si="44"/>
        <v>3235.1809834963528</v>
      </c>
    </row>
    <row r="65" spans="1:183" x14ac:dyDescent="0.15">
      <c r="A65" s="286"/>
      <c r="C65" s="254"/>
      <c r="D65" s="62"/>
      <c r="E65" s="62"/>
      <c r="F65" s="62"/>
      <c r="G65" s="62"/>
      <c r="H65" s="62"/>
      <c r="I65" s="62"/>
      <c r="J65" s="62"/>
      <c r="K65" s="62"/>
      <c r="L65" s="62"/>
      <c r="M65" s="62"/>
      <c r="N65" s="62"/>
      <c r="O65" s="62"/>
      <c r="P65" s="62"/>
      <c r="Q65" s="62"/>
      <c r="R65" s="62"/>
      <c r="S65" s="62"/>
      <c r="T65" s="62"/>
      <c r="U65" s="62"/>
      <c r="V65" s="62"/>
      <c r="W65" s="62"/>
      <c r="X65" s="62"/>
      <c r="Y65" s="62"/>
      <c r="Z65" s="62"/>
      <c r="AA65" s="62"/>
      <c r="AB65" s="62"/>
      <c r="AC65" s="62"/>
      <c r="AD65" s="62"/>
      <c r="AE65" s="62"/>
      <c r="AF65" s="62"/>
      <c r="AG65" s="62"/>
      <c r="AH65" s="62"/>
      <c r="AI65" s="62"/>
      <c r="AJ65" s="62"/>
      <c r="AK65" s="62"/>
      <c r="AL65" s="62"/>
      <c r="AM65" s="62"/>
      <c r="AN65" s="62"/>
      <c r="AO65" s="62"/>
      <c r="AP65" s="62"/>
      <c r="AQ65" s="62"/>
      <c r="AR65" s="62"/>
      <c r="AS65" s="62"/>
      <c r="AT65" s="62"/>
      <c r="AU65" s="62"/>
      <c r="AV65" s="62"/>
      <c r="AW65" s="62"/>
      <c r="AX65" s="62"/>
      <c r="AY65" s="62"/>
      <c r="AZ65" s="62"/>
      <c r="BA65" s="62"/>
      <c r="BB65" s="62"/>
      <c r="BC65" s="62"/>
      <c r="BD65" s="62"/>
      <c r="BE65" s="62"/>
      <c r="BF65" s="62"/>
      <c r="BG65" s="62"/>
      <c r="BH65" s="62"/>
      <c r="BI65" s="62"/>
      <c r="BJ65" s="62"/>
      <c r="BK65" s="62"/>
      <c r="BL65" s="62"/>
      <c r="BM65" s="62"/>
      <c r="BN65" s="62"/>
      <c r="BO65" s="62"/>
      <c r="BP65" s="62"/>
      <c r="BQ65" s="62"/>
      <c r="BR65" s="62"/>
      <c r="BS65" s="62"/>
      <c r="BT65" s="62"/>
      <c r="BU65" s="62"/>
      <c r="BV65" s="62"/>
      <c r="BW65" s="62"/>
      <c r="BX65" s="62"/>
      <c r="BY65" s="62"/>
      <c r="BZ65" s="62"/>
      <c r="CA65" s="62"/>
      <c r="CB65" s="62"/>
      <c r="CC65" s="62"/>
      <c r="CD65" s="62"/>
      <c r="CE65" s="62"/>
      <c r="CF65" s="62"/>
      <c r="CG65" s="62"/>
      <c r="CH65" s="62"/>
      <c r="CI65" s="62"/>
      <c r="CJ65" s="62"/>
      <c r="CK65" s="62"/>
      <c r="CL65" s="62"/>
      <c r="CM65" s="62"/>
      <c r="CN65" s="62"/>
      <c r="CO65" s="62"/>
      <c r="CP65" s="62"/>
      <c r="CQ65" s="62"/>
      <c r="CR65" s="62"/>
      <c r="CS65" s="62"/>
      <c r="CT65" s="62"/>
      <c r="CU65" s="62"/>
      <c r="CV65" s="62"/>
      <c r="CW65" s="62"/>
      <c r="CX65" s="62"/>
      <c r="CY65" s="62"/>
      <c r="CZ65" s="62"/>
      <c r="DA65" s="62"/>
      <c r="DB65" s="62"/>
      <c r="DC65" s="62"/>
      <c r="DD65" s="62"/>
      <c r="DE65" s="62"/>
      <c r="DF65" s="62"/>
      <c r="DG65" s="62"/>
      <c r="DH65" s="62"/>
      <c r="DI65" s="62"/>
      <c r="DJ65" s="62"/>
      <c r="DK65" s="62"/>
      <c r="DL65" s="62"/>
      <c r="DM65" s="62"/>
      <c r="DN65" s="62"/>
      <c r="DO65" s="62"/>
      <c r="DP65" s="62"/>
      <c r="DQ65" s="62"/>
      <c r="DR65" s="62"/>
      <c r="DS65" s="62"/>
      <c r="DT65" s="62"/>
      <c r="DU65" s="62"/>
      <c r="DV65" s="62"/>
      <c r="DW65" s="62"/>
      <c r="DX65" s="62"/>
      <c r="DY65" s="62"/>
      <c r="DZ65" s="62"/>
      <c r="EA65" s="62"/>
      <c r="EB65" s="62"/>
      <c r="EC65" s="62"/>
      <c r="ED65" s="62"/>
      <c r="EE65" s="62"/>
      <c r="EF65" s="62"/>
      <c r="EG65" s="62"/>
      <c r="EH65" s="62"/>
      <c r="EI65" s="62"/>
      <c r="EJ65" s="62"/>
      <c r="EK65" s="62"/>
      <c r="EL65" s="62"/>
      <c r="EM65" s="62"/>
      <c r="EN65" s="62"/>
      <c r="EO65" s="62"/>
      <c r="EP65" s="62"/>
      <c r="EQ65" s="62"/>
      <c r="ER65" s="62"/>
      <c r="ES65" s="62"/>
      <c r="ET65" s="62"/>
      <c r="EU65" s="62"/>
      <c r="EV65" s="62"/>
      <c r="EW65" s="62"/>
      <c r="EX65" s="62"/>
      <c r="EY65" s="62"/>
      <c r="EZ65" s="62"/>
      <c r="FA65" s="62"/>
      <c r="FB65" s="62"/>
      <c r="FC65" s="62"/>
      <c r="FD65" s="62"/>
      <c r="FE65" s="62"/>
      <c r="FF65" s="62"/>
      <c r="FG65" s="62"/>
      <c r="FH65" s="62"/>
      <c r="FI65" s="62"/>
      <c r="FJ65" s="62"/>
      <c r="FK65" s="62"/>
      <c r="FL65" s="62"/>
      <c r="FM65" s="62"/>
      <c r="FN65" s="62"/>
      <c r="FO65" s="62"/>
      <c r="FP65" s="62"/>
      <c r="FQ65" s="62"/>
      <c r="FR65" s="62"/>
      <c r="FS65" s="62"/>
      <c r="FT65" s="62"/>
      <c r="FU65" s="62"/>
      <c r="FV65" s="62"/>
      <c r="FW65" s="62"/>
      <c r="FX65" s="62"/>
      <c r="FY65" s="62"/>
      <c r="FZ65" s="62"/>
      <c r="GA65" s="62"/>
    </row>
    <row r="66" spans="1:183" x14ac:dyDescent="0.15">
      <c r="A66" s="279" t="s">
        <v>831</v>
      </c>
      <c r="C66" s="318">
        <v>0</v>
      </c>
      <c r="D66" s="264">
        <f>D$64*EqInv_PctCashFlow+(D70-D72)</f>
        <v>1943.663042983809</v>
      </c>
      <c r="E66" s="264">
        <f t="shared" ref="E66:BP66" si="45">E$64*EqInv_PctCashFlow+(E70-E72)</f>
        <v>1943.663042983809</v>
      </c>
      <c r="F66" s="264">
        <f t="shared" si="45"/>
        <v>1943.663042983809</v>
      </c>
      <c r="G66" s="264">
        <f t="shared" si="45"/>
        <v>1943.663042983809</v>
      </c>
      <c r="H66" s="264">
        <f t="shared" si="45"/>
        <v>1943.663042983809</v>
      </c>
      <c r="I66" s="264">
        <f t="shared" si="45"/>
        <v>1943.663042983809</v>
      </c>
      <c r="J66" s="264">
        <f t="shared" si="45"/>
        <v>1943.663042983809</v>
      </c>
      <c r="K66" s="264">
        <f t="shared" si="45"/>
        <v>1943.663042983809</v>
      </c>
      <c r="L66" s="264">
        <f t="shared" si="45"/>
        <v>1943.663042983809</v>
      </c>
      <c r="M66" s="264">
        <f t="shared" si="45"/>
        <v>1943.663042983809</v>
      </c>
      <c r="N66" s="264">
        <f t="shared" si="45"/>
        <v>1943.663042983809</v>
      </c>
      <c r="O66" s="264">
        <f t="shared" si="45"/>
        <v>1943.663042983809</v>
      </c>
      <c r="P66" s="264">
        <f t="shared" si="45"/>
        <v>2011.2037494882422</v>
      </c>
      <c r="Q66" s="264">
        <f t="shared" si="45"/>
        <v>2011.2037494882422</v>
      </c>
      <c r="R66" s="264">
        <f t="shared" si="45"/>
        <v>2011.2037494882422</v>
      </c>
      <c r="S66" s="264">
        <f t="shared" si="45"/>
        <v>2011.2037494882422</v>
      </c>
      <c r="T66" s="264">
        <f t="shared" si="45"/>
        <v>2011.2037494882422</v>
      </c>
      <c r="U66" s="264">
        <f t="shared" si="45"/>
        <v>2011.2037494882422</v>
      </c>
      <c r="V66" s="264">
        <f t="shared" si="45"/>
        <v>2011.2037494882422</v>
      </c>
      <c r="W66" s="264">
        <f t="shared" si="45"/>
        <v>2011.2037494882422</v>
      </c>
      <c r="X66" s="264">
        <f t="shared" si="45"/>
        <v>2011.2037494882422</v>
      </c>
      <c r="Y66" s="264">
        <f t="shared" si="45"/>
        <v>2011.2037494882422</v>
      </c>
      <c r="Z66" s="264">
        <f t="shared" si="45"/>
        <v>2011.2037494882422</v>
      </c>
      <c r="AA66" s="264">
        <f t="shared" si="45"/>
        <v>2011.2037494882422</v>
      </c>
      <c r="AB66" s="264">
        <f t="shared" si="45"/>
        <v>2081.0888807203305</v>
      </c>
      <c r="AC66" s="264">
        <f t="shared" si="45"/>
        <v>2081.0888807203305</v>
      </c>
      <c r="AD66" s="264">
        <f t="shared" si="45"/>
        <v>2081.0888807203305</v>
      </c>
      <c r="AE66" s="264">
        <f t="shared" si="45"/>
        <v>2081.0888807203305</v>
      </c>
      <c r="AF66" s="264">
        <f t="shared" si="45"/>
        <v>2081.0888807203305</v>
      </c>
      <c r="AG66" s="264">
        <f t="shared" si="45"/>
        <v>2081.0888807203305</v>
      </c>
      <c r="AH66" s="264">
        <f t="shared" si="45"/>
        <v>2081.0888807203305</v>
      </c>
      <c r="AI66" s="264">
        <f t="shared" si="45"/>
        <v>2081.0888807203305</v>
      </c>
      <c r="AJ66" s="264">
        <f t="shared" si="45"/>
        <v>2081.0888807203305</v>
      </c>
      <c r="AK66" s="264">
        <f t="shared" si="45"/>
        <v>2081.0888807203305</v>
      </c>
      <c r="AL66" s="264">
        <f t="shared" si="45"/>
        <v>2081.0888807203305</v>
      </c>
      <c r="AM66" s="264">
        <f t="shared" si="45"/>
        <v>2081.0888807203305</v>
      </c>
      <c r="AN66" s="264">
        <f t="shared" si="45"/>
        <v>2153.3997115455418</v>
      </c>
      <c r="AO66" s="264">
        <f t="shared" si="45"/>
        <v>2153.3997115455418</v>
      </c>
      <c r="AP66" s="264">
        <f t="shared" si="45"/>
        <v>2153.3997115455418</v>
      </c>
      <c r="AQ66" s="264">
        <f t="shared" si="45"/>
        <v>2153.3997115455418</v>
      </c>
      <c r="AR66" s="264">
        <f t="shared" si="45"/>
        <v>2153.3997115455418</v>
      </c>
      <c r="AS66" s="264">
        <f t="shared" si="45"/>
        <v>2153.3997115455418</v>
      </c>
      <c r="AT66" s="264">
        <f t="shared" si="45"/>
        <v>2153.3997115455418</v>
      </c>
      <c r="AU66" s="264">
        <f t="shared" si="45"/>
        <v>2153.3997115455418</v>
      </c>
      <c r="AV66" s="264">
        <f t="shared" si="45"/>
        <v>2153.3997115455418</v>
      </c>
      <c r="AW66" s="264">
        <f t="shared" si="45"/>
        <v>2153.3997115455418</v>
      </c>
      <c r="AX66" s="264">
        <f t="shared" si="45"/>
        <v>2153.3997115455418</v>
      </c>
      <c r="AY66" s="264">
        <f t="shared" si="45"/>
        <v>2153.3997115455418</v>
      </c>
      <c r="AZ66" s="264">
        <f t="shared" si="45"/>
        <v>2228.2203302496359</v>
      </c>
      <c r="BA66" s="264">
        <f t="shared" si="45"/>
        <v>2228.2203302496359</v>
      </c>
      <c r="BB66" s="264">
        <f t="shared" si="45"/>
        <v>2228.2203302496359</v>
      </c>
      <c r="BC66" s="264">
        <f t="shared" si="45"/>
        <v>2228.2203302496359</v>
      </c>
      <c r="BD66" s="264">
        <f t="shared" si="45"/>
        <v>2228.2203302496359</v>
      </c>
      <c r="BE66" s="264">
        <f t="shared" si="45"/>
        <v>2228.2203302496359</v>
      </c>
      <c r="BF66" s="264">
        <f t="shared" si="45"/>
        <v>2228.2203302496359</v>
      </c>
      <c r="BG66" s="264">
        <f t="shared" si="45"/>
        <v>2228.2203302496359</v>
      </c>
      <c r="BH66" s="264">
        <f t="shared" si="45"/>
        <v>2228.2203302496359</v>
      </c>
      <c r="BI66" s="264">
        <f t="shared" si="45"/>
        <v>2228.2203302496359</v>
      </c>
      <c r="BJ66" s="264">
        <f t="shared" si="45"/>
        <v>2228.2203302496359</v>
      </c>
      <c r="BK66" s="264">
        <f t="shared" si="45"/>
        <v>2228.2203302496359</v>
      </c>
      <c r="BL66" s="264">
        <f t="shared" si="45"/>
        <v>2305.6377357603728</v>
      </c>
      <c r="BM66" s="264">
        <f t="shared" si="45"/>
        <v>2305.6377357603728</v>
      </c>
      <c r="BN66" s="264">
        <f t="shared" si="45"/>
        <v>2305.6377357603728</v>
      </c>
      <c r="BO66" s="264">
        <f t="shared" si="45"/>
        <v>2305.6377357603728</v>
      </c>
      <c r="BP66" s="264">
        <f t="shared" si="45"/>
        <v>2305.6377357603728</v>
      </c>
      <c r="BQ66" s="264">
        <f t="shared" ref="BQ66:EB66" si="46">BQ$64*EqInv_PctCashFlow+(BQ70-BQ72)</f>
        <v>2305.6377357603728</v>
      </c>
      <c r="BR66" s="264">
        <f t="shared" si="46"/>
        <v>2305.6377357603728</v>
      </c>
      <c r="BS66" s="264">
        <f t="shared" si="46"/>
        <v>2305.6377357603728</v>
      </c>
      <c r="BT66" s="264">
        <f t="shared" si="46"/>
        <v>2305.6377357603728</v>
      </c>
      <c r="BU66" s="264">
        <f t="shared" si="46"/>
        <v>2305.6377357603728</v>
      </c>
      <c r="BV66" s="264">
        <f t="shared" si="46"/>
        <v>2305.6377357603728</v>
      </c>
      <c r="BW66" s="264">
        <f t="shared" si="46"/>
        <v>2305.6377357603728</v>
      </c>
      <c r="BX66" s="264">
        <f t="shared" si="46"/>
        <v>2385.7419382220655</v>
      </c>
      <c r="BY66" s="264">
        <f t="shared" si="46"/>
        <v>2385.7419382220655</v>
      </c>
      <c r="BZ66" s="264">
        <f t="shared" si="46"/>
        <v>2385.7419382220655</v>
      </c>
      <c r="CA66" s="264">
        <f t="shared" si="46"/>
        <v>2385.7419382220655</v>
      </c>
      <c r="CB66" s="264">
        <f t="shared" si="46"/>
        <v>2385.7419382220655</v>
      </c>
      <c r="CC66" s="264">
        <f t="shared" si="46"/>
        <v>2385.7419382220655</v>
      </c>
      <c r="CD66" s="264">
        <f t="shared" si="46"/>
        <v>2385.7419382220655</v>
      </c>
      <c r="CE66" s="264">
        <f t="shared" si="46"/>
        <v>2385.7419382220655</v>
      </c>
      <c r="CF66" s="264">
        <f t="shared" si="46"/>
        <v>2385.7419382220655</v>
      </c>
      <c r="CG66" s="264">
        <f t="shared" si="46"/>
        <v>2385.7419382220655</v>
      </c>
      <c r="CH66" s="264">
        <f t="shared" si="46"/>
        <v>2385.7419382220655</v>
      </c>
      <c r="CI66" s="264">
        <f t="shared" si="46"/>
        <v>2385.7419382220655</v>
      </c>
      <c r="CJ66" s="264">
        <f t="shared" si="46"/>
        <v>2468.6260630383208</v>
      </c>
      <c r="CK66" s="264">
        <f t="shared" si="46"/>
        <v>2468.6260630383208</v>
      </c>
      <c r="CL66" s="264">
        <f t="shared" si="46"/>
        <v>2468.6260630383208</v>
      </c>
      <c r="CM66" s="264">
        <f t="shared" si="46"/>
        <v>2468.6260630383208</v>
      </c>
      <c r="CN66" s="264">
        <f t="shared" si="46"/>
        <v>2468.6260630383208</v>
      </c>
      <c r="CO66" s="264">
        <f t="shared" si="46"/>
        <v>2468.6260630383208</v>
      </c>
      <c r="CP66" s="264">
        <f t="shared" si="46"/>
        <v>2468.6260630383208</v>
      </c>
      <c r="CQ66" s="264">
        <f t="shared" si="46"/>
        <v>2468.6260630383208</v>
      </c>
      <c r="CR66" s="264">
        <f t="shared" si="46"/>
        <v>2468.6260630383208</v>
      </c>
      <c r="CS66" s="264">
        <f t="shared" si="46"/>
        <v>2468.6260630383208</v>
      </c>
      <c r="CT66" s="264">
        <f t="shared" si="46"/>
        <v>2468.6260630383208</v>
      </c>
      <c r="CU66" s="264">
        <f t="shared" si="46"/>
        <v>2468.6260630383208</v>
      </c>
      <c r="CV66" s="264">
        <f t="shared" si="46"/>
        <v>2554.3864585022843</v>
      </c>
      <c r="CW66" s="264">
        <f t="shared" si="46"/>
        <v>2554.3864585022843</v>
      </c>
      <c r="CX66" s="264">
        <f t="shared" si="46"/>
        <v>2554.3864585022843</v>
      </c>
      <c r="CY66" s="264">
        <f t="shared" si="46"/>
        <v>2554.3864585022843</v>
      </c>
      <c r="CZ66" s="264">
        <f t="shared" si="46"/>
        <v>2554.3864585022843</v>
      </c>
      <c r="DA66" s="264">
        <f t="shared" si="46"/>
        <v>2554.3864585022843</v>
      </c>
      <c r="DB66" s="264">
        <f t="shared" si="46"/>
        <v>2554.3864585022843</v>
      </c>
      <c r="DC66" s="264">
        <f t="shared" si="46"/>
        <v>2554.3864585022843</v>
      </c>
      <c r="DD66" s="264">
        <f t="shared" si="46"/>
        <v>2554.3864585022843</v>
      </c>
      <c r="DE66" s="264">
        <f t="shared" si="46"/>
        <v>2554.3864585022843</v>
      </c>
      <c r="DF66" s="264">
        <f t="shared" si="46"/>
        <v>2554.3864585022843</v>
      </c>
      <c r="DG66" s="264">
        <f t="shared" si="46"/>
        <v>2554.3864585022843</v>
      </c>
      <c r="DH66" s="264">
        <f t="shared" si="46"/>
        <v>2643.1228071377914</v>
      </c>
      <c r="DI66" s="264">
        <f t="shared" si="46"/>
        <v>2643.1228071377914</v>
      </c>
      <c r="DJ66" s="264">
        <f t="shared" si="46"/>
        <v>2643.1228071377914</v>
      </c>
      <c r="DK66" s="264">
        <f t="shared" si="46"/>
        <v>2643.1228071377914</v>
      </c>
      <c r="DL66" s="264">
        <f t="shared" si="46"/>
        <v>2643.1228071377914</v>
      </c>
      <c r="DM66" s="264">
        <f t="shared" si="46"/>
        <v>2643.1228071377914</v>
      </c>
      <c r="DN66" s="264">
        <f t="shared" si="46"/>
        <v>2643.1228071377914</v>
      </c>
      <c r="DO66" s="264">
        <f t="shared" si="46"/>
        <v>2643.1228071377914</v>
      </c>
      <c r="DP66" s="264">
        <f t="shared" si="46"/>
        <v>2643.1228071377914</v>
      </c>
      <c r="DQ66" s="264">
        <f t="shared" si="46"/>
        <v>2643.1228071377914</v>
      </c>
      <c r="DR66" s="264">
        <f t="shared" si="46"/>
        <v>2643.1228071377914</v>
      </c>
      <c r="DS66" s="264">
        <f t="shared" si="46"/>
        <v>2643.1228071377914</v>
      </c>
      <c r="DT66" s="264">
        <f t="shared" si="46"/>
        <v>2734.9382408790584</v>
      </c>
      <c r="DU66" s="264">
        <f t="shared" si="46"/>
        <v>2734.9382408790584</v>
      </c>
      <c r="DV66" s="264">
        <f t="shared" si="46"/>
        <v>2734.9382408790584</v>
      </c>
      <c r="DW66" s="264">
        <f t="shared" si="46"/>
        <v>2734.9382408790584</v>
      </c>
      <c r="DX66" s="264">
        <f t="shared" si="46"/>
        <v>2734.9382408790584</v>
      </c>
      <c r="DY66" s="264">
        <f t="shared" si="46"/>
        <v>2734.9382408790584</v>
      </c>
      <c r="DZ66" s="264">
        <f t="shared" si="46"/>
        <v>2734.9382408790584</v>
      </c>
      <c r="EA66" s="264">
        <f t="shared" si="46"/>
        <v>2734.9382408790584</v>
      </c>
      <c r="EB66" s="264">
        <f t="shared" si="46"/>
        <v>2734.9382408790584</v>
      </c>
      <c r="EC66" s="264">
        <f t="shared" ref="EC66:GA66" si="47">EC$64*EqInv_PctCashFlow+(EC70-EC72)</f>
        <v>2734.9382408790584</v>
      </c>
      <c r="ED66" s="264">
        <f t="shared" si="47"/>
        <v>2734.9382408790584</v>
      </c>
      <c r="EE66" s="264">
        <f t="shared" si="47"/>
        <v>2734.9382408790584</v>
      </c>
      <c r="EF66" s="264">
        <f t="shared" si="47"/>
        <v>836.35884323616972</v>
      </c>
      <c r="EG66" s="264">
        <f t="shared" si="47"/>
        <v>836.35884323616972</v>
      </c>
      <c r="EH66" s="264">
        <f t="shared" si="47"/>
        <v>836.35884323616972</v>
      </c>
      <c r="EI66" s="264">
        <f t="shared" si="47"/>
        <v>836.35884323616972</v>
      </c>
      <c r="EJ66" s="264">
        <f t="shared" si="47"/>
        <v>836.35884323616972</v>
      </c>
      <c r="EK66" s="264">
        <f t="shared" si="47"/>
        <v>836.35884323616972</v>
      </c>
      <c r="EL66" s="264">
        <f t="shared" si="47"/>
        <v>836.35884323616972</v>
      </c>
      <c r="EM66" s="264">
        <f t="shared" si="47"/>
        <v>836.35884323616972</v>
      </c>
      <c r="EN66" s="264">
        <f t="shared" si="47"/>
        <v>836.35884323616972</v>
      </c>
      <c r="EO66" s="264">
        <f t="shared" si="47"/>
        <v>836.35884323616972</v>
      </c>
      <c r="EP66" s="264">
        <f t="shared" si="47"/>
        <v>836.35884323616972</v>
      </c>
      <c r="EQ66" s="264">
        <f t="shared" si="47"/>
        <v>836.35884323616972</v>
      </c>
      <c r="ER66" s="264">
        <f t="shared" si="47"/>
        <v>2928.2368574762058</v>
      </c>
      <c r="ES66" s="427">
        <f t="shared" si="47"/>
        <v>2928.2368574762058</v>
      </c>
      <c r="ET66" s="264">
        <f t="shared" si="47"/>
        <v>2928.2368574762058</v>
      </c>
      <c r="EU66" s="264">
        <f t="shared" si="47"/>
        <v>2928.2368574762058</v>
      </c>
      <c r="EV66" s="264">
        <f t="shared" si="47"/>
        <v>2928.2368574762058</v>
      </c>
      <c r="EW66" s="264">
        <f t="shared" si="47"/>
        <v>2928.2368574762058</v>
      </c>
      <c r="EX66" s="264">
        <f t="shared" si="47"/>
        <v>2928.2368574762058</v>
      </c>
      <c r="EY66" s="264">
        <f t="shared" si="47"/>
        <v>2928.2368574762058</v>
      </c>
      <c r="EZ66" s="264">
        <f t="shared" si="47"/>
        <v>2928.2368574762058</v>
      </c>
      <c r="FA66" s="264">
        <f t="shared" si="47"/>
        <v>2928.2368574762058</v>
      </c>
      <c r="FB66" s="264">
        <f t="shared" si="47"/>
        <v>2928.2368574762058</v>
      </c>
      <c r="FC66" s="264">
        <f t="shared" si="47"/>
        <v>2928.2368574762058</v>
      </c>
      <c r="FD66" s="264">
        <f t="shared" si="47"/>
        <v>3029.944644281321</v>
      </c>
      <c r="FE66" s="264">
        <f t="shared" si="47"/>
        <v>3029.944644281321</v>
      </c>
      <c r="FF66" s="264">
        <f t="shared" si="47"/>
        <v>3029.944644281321</v>
      </c>
      <c r="FG66" s="264">
        <f t="shared" si="47"/>
        <v>3029.944644281321</v>
      </c>
      <c r="FH66" s="264">
        <f t="shared" si="47"/>
        <v>3029.944644281321</v>
      </c>
      <c r="FI66" s="264">
        <f t="shared" si="47"/>
        <v>3029.944644281321</v>
      </c>
      <c r="FJ66" s="264">
        <f t="shared" si="47"/>
        <v>3029.944644281321</v>
      </c>
      <c r="FK66" s="264">
        <f t="shared" si="47"/>
        <v>3029.944644281321</v>
      </c>
      <c r="FL66" s="264">
        <f t="shared" si="47"/>
        <v>3029.944644281321</v>
      </c>
      <c r="FM66" s="264">
        <f t="shared" si="47"/>
        <v>3029.944644281321</v>
      </c>
      <c r="FN66" s="264">
        <f t="shared" si="47"/>
        <v>3029.944644281321</v>
      </c>
      <c r="FO66" s="264">
        <f t="shared" si="47"/>
        <v>3029.944644281321</v>
      </c>
      <c r="FP66" s="264">
        <f t="shared" si="47"/>
        <v>3135.1809834963528</v>
      </c>
      <c r="FQ66" s="264">
        <f t="shared" si="47"/>
        <v>3135.1809834963528</v>
      </c>
      <c r="FR66" s="264">
        <f t="shared" si="47"/>
        <v>3135.1809834963528</v>
      </c>
      <c r="FS66" s="264">
        <f t="shared" si="47"/>
        <v>3135.1809834963528</v>
      </c>
      <c r="FT66" s="264">
        <f t="shared" si="47"/>
        <v>3135.1809834963528</v>
      </c>
      <c r="FU66" s="264">
        <f t="shared" si="47"/>
        <v>3135.1809834963528</v>
      </c>
      <c r="FV66" s="264">
        <f t="shared" si="47"/>
        <v>3135.1809834963528</v>
      </c>
      <c r="FW66" s="264">
        <f t="shared" si="47"/>
        <v>3135.1809834963528</v>
      </c>
      <c r="FX66" s="264">
        <f t="shared" si="47"/>
        <v>3135.1809834963528</v>
      </c>
      <c r="FY66" s="264">
        <f t="shared" si="47"/>
        <v>3135.1809834963528</v>
      </c>
      <c r="FZ66" s="264">
        <f t="shared" si="47"/>
        <v>3135.1809834963528</v>
      </c>
      <c r="GA66" s="265">
        <f t="shared" si="47"/>
        <v>3235.1809834963528</v>
      </c>
    </row>
    <row r="67" spans="1:183" x14ac:dyDescent="0.15">
      <c r="A67" s="279" t="s">
        <v>832</v>
      </c>
      <c r="C67" s="269"/>
      <c r="D67" s="254">
        <f ca="1">IF(EqInv_Pct=0,0,XNPV(EqInv_ReqIRR,$C66:D66,$C$58:D$58))</f>
        <v>1920.7277810545986</v>
      </c>
      <c r="E67" s="254">
        <f ca="1">IF(EqInv_Pct=0,0,XNPV(EqInv_ReqIRR,$C66:E66,$C$58:E$58))</f>
        <v>3819.5178621670857</v>
      </c>
      <c r="F67" s="254">
        <f ca="1">IF(EqInv_Pct=0,0,XNPV(EqInv_ReqIRR,$C66:F66,$C$58:F$58))</f>
        <v>5695.9021831782502</v>
      </c>
      <c r="G67" s="254">
        <f ca="1">IF(EqInv_Pct=0,0,XNPV(EqInv_ReqIRR,$C66:G66,$C$58:G$58))</f>
        <v>7550.1451324955897</v>
      </c>
      <c r="H67" s="254">
        <f ca="1">IF(EqInv_Pct=0,0,XNPV(EqInv_ReqIRR,$C66:H66,$C$58:H$58))</f>
        <v>9384.6140752183601</v>
      </c>
      <c r="I67" s="254">
        <f ca="1">IF(EqInv_Pct=0,0,XNPV(EqInv_ReqIRR,$C66:I66,$C$58:I$58))</f>
        <v>11197.436248531059</v>
      </c>
      <c r="J67" s="254">
        <f ca="1">IF(EqInv_Pct=0,0,XNPV(EqInv_ReqIRR,$C66:J66,$C$58:J$58))</f>
        <v>12989.553171844873</v>
      </c>
      <c r="K67" s="254">
        <f ca="1">IF(EqInv_Pct=0,0,XNPV(EqInv_ReqIRR,$C66:K66,$C$58:K$58))</f>
        <v>14760.523080406132</v>
      </c>
      <c r="L67" s="254">
        <f ca="1">IF(EqInv_Pct=0,0,XNPV(EqInv_ReqIRR,$C66:L66,$C$58:L$58))</f>
        <v>16511.265756954745</v>
      </c>
      <c r="M67" s="254">
        <f ca="1">IF(EqInv_Pct=0,0,XNPV(EqInv_ReqIRR,$C66:M66,$C$58:M$58))</f>
        <v>18241.349635671999</v>
      </c>
      <c r="N67" s="254">
        <f ca="1">IF(EqInv_Pct=0,0,XNPV(EqInv_ReqIRR,$C66:N66,$C$58:N$58))</f>
        <v>19951.018490776431</v>
      </c>
      <c r="O67" s="254">
        <f ca="1">IF(EqInv_Pct=0,0,XNPV(EqInv_ReqIRR,$C66:O66,$C$58:O$58))</f>
        <v>21641.160267284089</v>
      </c>
      <c r="P67" s="254">
        <f ca="1">IF(EqInv_Pct=0,0,XNPV(EqInv_ReqIRR,$C66:P66,$C$58:P$58))</f>
        <v>23369.396359371956</v>
      </c>
      <c r="Q67" s="254">
        <f ca="1">IF(EqInv_Pct=0,0,XNPV(EqInv_ReqIRR,$C66:Q66,$C$58:Q$58))</f>
        <v>25077.893306125789</v>
      </c>
      <c r="R67" s="254">
        <f ca="1">IF(EqInv_Pct=0,0,XNPV(EqInv_ReqIRR,$C66:R66,$C$58:R$58))</f>
        <v>26766.229955486251</v>
      </c>
      <c r="S67" s="254">
        <f ca="1">IF(EqInv_Pct=0,0,XNPV(EqInv_ReqIRR,$C66:S66,$C$58:S$58))</f>
        <v>28434.644199356964</v>
      </c>
      <c r="T67" s="254">
        <f ca="1">IF(EqInv_Pct=0,0,XNPV(EqInv_ReqIRR,$C66:T66,$C$58:T$58))</f>
        <v>30085.266150004765</v>
      </c>
      <c r="U67" s="254">
        <f ca="1">IF(EqInv_Pct=0,0,XNPV(EqInv_ReqIRR,$C66:U66,$C$58:U$58))</f>
        <v>31716.4107293454</v>
      </c>
      <c r="V67" s="254">
        <f ca="1">IF(EqInv_Pct=0,0,XNPV(EqInv_ReqIRR,$C66:V66,$C$58:V$58))</f>
        <v>33328.925099503489</v>
      </c>
      <c r="W67" s="254">
        <f ca="1">IF(EqInv_Pct=0,0,XNPV(EqInv_ReqIRR,$C66:W66,$C$58:W$58))</f>
        <v>34922.411768549653</v>
      </c>
      <c r="X67" s="254">
        <f ca="1">IF(EqInv_Pct=0,0,XNPV(EqInv_ReqIRR,$C66:X66,$C$58:X$58))</f>
        <v>36497.69834034513</v>
      </c>
      <c r="Y67" s="254">
        <f ca="1">IF(EqInv_Pct=0,0,XNPV(EqInv_ReqIRR,$C66:Y66,$C$58:Y$58))</f>
        <v>38054.396499777613</v>
      </c>
      <c r="Z67" s="254">
        <f ca="1">IF(EqInv_Pct=0,0,XNPV(EqInv_ReqIRR,$C66:Z66,$C$58:Z$58))</f>
        <v>39592.725590476606</v>
      </c>
      <c r="AA67" s="254">
        <f ca="1">IF(EqInv_Pct=0,0,XNPV(EqInv_ReqIRR,$C66:AA66,$C$58:AA$58))</f>
        <v>41113.484569295695</v>
      </c>
      <c r="AB67" s="254">
        <f ca="1">IF(EqInv_Pct=0,0,XNPV(EqInv_ReqIRR,$C66:AB66,$C$58:AB$58))</f>
        <v>42668.51821104806</v>
      </c>
      <c r="AC67" s="254">
        <f ca="1">IF(EqInv_Pct=0,0,XNPV(EqInv_ReqIRR,$C66:AC66,$C$58:AC$58))</f>
        <v>44205.790948954942</v>
      </c>
      <c r="AD67" s="254">
        <f ca="1">IF(EqInv_Pct=0,0,XNPV(EqInv_ReqIRR,$C66:AD66,$C$58:AD$58))</f>
        <v>45724.92383848234</v>
      </c>
      <c r="AE67" s="254">
        <f ca="1">IF(EqInv_Pct=0,0,XNPV(EqInv_ReqIRR,$C66:AE66,$C$58:AE$58))</f>
        <v>47226.130930195992</v>
      </c>
      <c r="AF67" s="254">
        <f ca="1">IF(EqInv_Pct=0,0,XNPV(EqInv_ReqIRR,$C66:AF66,$C$58:AF$58))</f>
        <v>48710.760270772837</v>
      </c>
      <c r="AG67" s="254">
        <f ca="1">IF(EqInv_Pct=0,0,XNPV(EqInv_ReqIRR,$C66:AG66,$C$58:AG$58))</f>
        <v>50177.870956088504</v>
      </c>
      <c r="AH67" s="254">
        <f ca="1">IF(EqInv_Pct=0,0,XNPV(EqInv_ReqIRR,$C66:AH66,$C$58:AH$58))</f>
        <v>51628.224954530691</v>
      </c>
      <c r="AI67" s="254">
        <f ca="1">IF(EqInv_Pct=0,0,XNPV(EqInv_ReqIRR,$C66:AI66,$C$58:AI$58))</f>
        <v>53061.464747419392</v>
      </c>
      <c r="AJ67" s="254">
        <f ca="1">IF(EqInv_Pct=0,0,XNPV(EqInv_ReqIRR,$C66:AJ66,$C$58:AJ$58))</f>
        <v>54478.334711729767</v>
      </c>
      <c r="AK67" s="254">
        <f ca="1">IF(EqInv_Pct=0,0,XNPV(EqInv_ReqIRR,$C66:AK66,$C$58:AK$58))</f>
        <v>55878.485582744426</v>
      </c>
      <c r="AL67" s="254">
        <f ca="1">IF(EqInv_Pct=0,0,XNPV(EqInv_ReqIRR,$C66:AL66,$C$58:AL$58))</f>
        <v>57262.114646091308</v>
      </c>
      <c r="AM67" s="254">
        <f ca="1">IF(EqInv_Pct=0,0,XNPV(EqInv_ReqIRR,$C66:AM66,$C$58:AM$58))</f>
        <v>58629.940512586305</v>
      </c>
      <c r="AN67" s="254">
        <f ca="1">IF(EqInv_Pct=0,0,XNPV(EqInv_ReqIRR,$C66:AN66,$C$58:AN$58))</f>
        <v>60028.59252641903</v>
      </c>
      <c r="AO67" s="254">
        <f ca="1">IF(EqInv_Pct=0,0,XNPV(EqInv_ReqIRR,$C66:AO66,$C$58:AO$58))</f>
        <v>61411.269757929374</v>
      </c>
      <c r="AP67" s="254">
        <f ca="1">IF(EqInv_Pct=0,0,XNPV(EqInv_ReqIRR,$C66:AP66,$C$58:AP$58))</f>
        <v>62777.631371059921</v>
      </c>
      <c r="AQ67" s="254">
        <f ca="1">IF(EqInv_Pct=0,0,XNPV(EqInv_ReqIRR,$C66:AQ66,$C$58:AQ$58))</f>
        <v>64127.869890426715</v>
      </c>
      <c r="AR67" s="254">
        <f ca="1">IF(EqInv_Pct=0,0,XNPV(EqInv_ReqIRR,$C66:AR66,$C$58:AR$58))</f>
        <v>65463.709204233077</v>
      </c>
      <c r="AS67" s="254">
        <f ca="1">IF(EqInv_Pct=0,0,XNPV(EqInv_ReqIRR,$C66:AS66,$C$58:AS$58))</f>
        <v>66783.785588004786</v>
      </c>
      <c r="AT67" s="254">
        <f ca="1">IF(EqInv_Pct=0,0,XNPV(EqInv_ReqIRR,$C66:AT66,$C$58:AT$58))</f>
        <v>68088.784645414329</v>
      </c>
      <c r="AU67" s="254">
        <f ca="1">IF(EqInv_Pct=0,0,XNPV(EqInv_ReqIRR,$C66:AU66,$C$58:AU$58))</f>
        <v>69378.384688418009</v>
      </c>
      <c r="AV67" s="254">
        <f ca="1">IF(EqInv_Pct=0,0,XNPV(EqInv_ReqIRR,$C66:AV66,$C$58:AV$58))</f>
        <v>70653.255492292737</v>
      </c>
      <c r="AW67" s="254">
        <f ca="1">IF(EqInv_Pct=0,0,XNPV(EqInv_ReqIRR,$C66:AW66,$C$58:AW$58))</f>
        <v>71913.082795742681</v>
      </c>
      <c r="AX67" s="254">
        <f ca="1">IF(EqInv_Pct=0,0,XNPV(EqInv_ReqIRR,$C66:AX66,$C$58:AX$58))</f>
        <v>73158.044112367133</v>
      </c>
      <c r="AY67" s="254">
        <f ca="1">IF(EqInv_Pct=0,0,XNPV(EqInv_ReqIRR,$C66:AY66,$C$58:AY$58))</f>
        <v>74388.786033576456</v>
      </c>
      <c r="AZ67" s="254">
        <f ca="1">IF(EqInv_Pct=0,0,XNPV(EqInv_ReqIRR,$C66:AZ66,$C$58:AZ$58))</f>
        <v>75647.263131323605</v>
      </c>
      <c r="BA67" s="254">
        <f ca="1">IF(EqInv_Pct=0,0,XNPV(EqInv_ReqIRR,$C66:BA66,$C$58:BA$58))</f>
        <v>76891.366462404432</v>
      </c>
      <c r="BB67" s="254">
        <f ca="1">IF(EqInv_Pct=0,0,XNPV(EqInv_ReqIRR,$C66:BB66,$C$58:BB$58))</f>
        <v>78120.789349841303</v>
      </c>
      <c r="BC67" s="254">
        <f ca="1">IF(EqInv_Pct=0,0,XNPV(EqInv_ReqIRR,$C66:BC66,$C$58:BC$58))</f>
        <v>79335.705023156421</v>
      </c>
      <c r="BD67" s="254">
        <f ca="1">IF(EqInv_Pct=0,0,XNPV(EqInv_ReqIRR,$C66:BD66,$C$58:BD$58))</f>
        <v>80537.664599998403</v>
      </c>
      <c r="BE67" s="254">
        <f ca="1">IF(EqInv_Pct=0,0,XNPV(EqInv_ReqIRR,$C66:BE66,$C$58:BE$58))</f>
        <v>81725.441030320872</v>
      </c>
      <c r="BF67" s="254">
        <f ca="1">IF(EqInv_Pct=0,0,XNPV(EqInv_ReqIRR,$C66:BF66,$C$58:BF$58))</f>
        <v>82899.651205610353</v>
      </c>
      <c r="BG67" s="254">
        <f ca="1">IF(EqInv_Pct=0,0,XNPV(EqInv_ReqIRR,$C66:BG66,$C$58:BG$58))</f>
        <v>84060.005677861482</v>
      </c>
      <c r="BH67" s="254">
        <f ca="1">IF(EqInv_Pct=0,0,XNPV(EqInv_ReqIRR,$C66:BH66,$C$58:BH$58))</f>
        <v>85207.107096509804</v>
      </c>
      <c r="BI67" s="254">
        <f ca="1">IF(EqInv_Pct=0,0,XNPV(EqInv_ReqIRR,$C66:BI66,$C$58:BI$58))</f>
        <v>86340.672695978428</v>
      </c>
      <c r="BJ67" s="254">
        <f ca="1">IF(EqInv_Pct=0,0,XNPV(EqInv_ReqIRR,$C66:BJ66,$C$58:BJ$58))</f>
        <v>87460.862199198484</v>
      </c>
      <c r="BK67" s="254">
        <f ca="1">IF(EqInv_Pct=0,0,XNPV(EqInv_ReqIRR,$C66:BK66,$C$58:BK$58))</f>
        <v>88568.257395259381</v>
      </c>
      <c r="BL67" s="254">
        <f ca="1">IF(EqInv_Pct=0,0,XNPV(EqInv_ReqIRR,$C66:BL66,$C$58:BL$58))</f>
        <v>89700.606693414069</v>
      </c>
      <c r="BM67" s="254">
        <f ca="1">IF(EqInv_Pct=0,0,XNPV(EqInv_ReqIRR,$C66:BM66,$C$58:BM$58))</f>
        <v>90820.022800630613</v>
      </c>
      <c r="BN67" s="254">
        <f ca="1">IF(EqInv_Pct=0,0,XNPV(EqInv_ReqIRR,$C66:BN66,$C$58:BN$58))</f>
        <v>91926.229775883941</v>
      </c>
      <c r="BO67" s="254">
        <f ca="1">IF(EqInv_Pct=0,0,XNPV(EqInv_ReqIRR,$C66:BO66,$C$58:BO$58))</f>
        <v>93019.383487189625</v>
      </c>
      <c r="BP67" s="254">
        <f ca="1">IF(EqInv_Pct=0,0,XNPV(EqInv_ReqIRR,$C66:BP66,$C$58:BP$58))</f>
        <v>94100.879595210805</v>
      </c>
      <c r="BQ67" s="254">
        <f ca="1">IF(EqInv_Pct=0,0,XNPV(EqInv_ReqIRR,$C66:BQ66,$C$58:BQ$58))</f>
        <v>95169.614028001073</v>
      </c>
      <c r="BR67" s="254">
        <f ca="1">IF(EqInv_Pct=0,0,XNPV(EqInv_ReqIRR,$C66:BR66,$C$58:BR$58))</f>
        <v>96226.141850601387</v>
      </c>
      <c r="BS67" s="254">
        <f ca="1">IF(EqInv_Pct=0,0,XNPV(EqInv_ReqIRR,$C66:BS66,$C$58:BS$58))</f>
        <v>97270.202624227182</v>
      </c>
      <c r="BT67" s="254">
        <f ca="1">IF(EqInv_Pct=0,0,XNPV(EqInv_ReqIRR,$C66:BT66,$C$58:BT$58))</f>
        <v>98302.338599243274</v>
      </c>
      <c r="BU67" s="254">
        <f ca="1">IF(EqInv_Pct=0,0,XNPV(EqInv_ReqIRR,$C66:BU66,$C$58:BU$58))</f>
        <v>99322.295349563501</v>
      </c>
      <c r="BV67" s="254">
        <f ca="1">IF(EqInv_Pct=0,0,XNPV(EqInv_ReqIRR,$C66:BV66,$C$58:BV$58))</f>
        <v>100330.21659027752</v>
      </c>
      <c r="BW67" s="254">
        <f ca="1">IF(EqInv_Pct=0,0,XNPV(EqInv_ReqIRR,$C66:BW66,$C$58:BW$58))</f>
        <v>101326.62580208137</v>
      </c>
      <c r="BX67" s="254">
        <f ca="1">IF(EqInv_Pct=0,0,XNPV(EqInv_ReqIRR,$C66:BX66,$C$58:BX$58))</f>
        <v>102345.4868718028</v>
      </c>
      <c r="BY67" s="254">
        <f ca="1">IF(EqInv_Pct=0,0,XNPV(EqInv_ReqIRR,$C66:BY66,$C$58:BY$58))</f>
        <v>103352.71096274426</v>
      </c>
      <c r="BZ67" s="254">
        <f ca="1">IF(EqInv_Pct=0,0,XNPV(EqInv_ReqIRR,$C66:BZ66,$C$58:BZ$58))</f>
        <v>104348.04978970926</v>
      </c>
      <c r="CA67" s="254">
        <f ca="1">IF(EqInv_Pct=0,0,XNPV(EqInv_ReqIRR,$C66:CA66,$C$58:CA$58))</f>
        <v>105331.64359904522</v>
      </c>
      <c r="CB67" s="254">
        <f ca="1">IF(EqInv_Pct=0,0,XNPV(EqInv_ReqIRR,$C66:CB66,$C$58:CB$58))</f>
        <v>106304.37563355951</v>
      </c>
      <c r="CC67" s="254">
        <f ca="1">IF(EqInv_Pct=0,0,XNPV(EqInv_ReqIRR,$C66:CC66,$C$58:CC$58))</f>
        <v>107265.62941103792</v>
      </c>
      <c r="CD67" s="254">
        <f ca="1">IF(EqInv_Pct=0,0,XNPV(EqInv_ReqIRR,$C66:CD66,$C$58:CD$58))</f>
        <v>108215.90417465162</v>
      </c>
      <c r="CE67" s="254">
        <f ca="1">IF(EqInv_Pct=0,0,XNPV(EqInv_ReqIRR,$C66:CE66,$C$58:CE$58))</f>
        <v>109154.96567746536</v>
      </c>
      <c r="CF67" s="254">
        <f ca="1">IF(EqInv_Pct=0,0,XNPV(EqInv_ReqIRR,$C66:CF66,$C$58:CF$58))</f>
        <v>110083.30163672258</v>
      </c>
      <c r="CG67" s="254">
        <f ca="1">IF(EqInv_Pct=0,0,XNPV(EqInv_ReqIRR,$C66:CG66,$C$58:CG$58))</f>
        <v>111000.68321350044</v>
      </c>
      <c r="CH67" s="254">
        <f ca="1">IF(EqInv_Pct=0,0,XNPV(EqInv_ReqIRR,$C66:CH66,$C$58:CH$58))</f>
        <v>111907.23966972646</v>
      </c>
      <c r="CI67" s="254">
        <f ca="1">IF(EqInv_Pct=0,0,XNPV(EqInv_ReqIRR,$C66:CI66,$C$58:CI$58))</f>
        <v>112803.44184060636</v>
      </c>
      <c r="CJ67" s="254">
        <f ca="1">IF(EqInv_Pct=0,0,XNPV(EqInv_ReqIRR,$C66:CJ66,$C$58:CJ$58))</f>
        <v>113719.83676985091</v>
      </c>
      <c r="CK67" s="254">
        <f ca="1">IF(EqInv_Pct=0,0,XNPV(EqInv_ReqIRR,$C66:CK66,$C$58:CK$58))</f>
        <v>114625.76504307865</v>
      </c>
      <c r="CL67" s="254">
        <f ca="1">IF(EqInv_Pct=0,0,XNPV(EqInv_ReqIRR,$C66:CL66,$C$58:CL$58))</f>
        <v>115521.0033449605</v>
      </c>
      <c r="CM67" s="254">
        <f ca="1">IF(EqInv_Pct=0,0,XNPV(EqInv_ReqIRR,$C66:CM66,$C$58:CM$58))</f>
        <v>116405.67781736745</v>
      </c>
      <c r="CN67" s="254">
        <f ca="1">IF(EqInv_Pct=0,0,XNPV(EqInv_ReqIRR,$C66:CN66,$C$58:CN$58))</f>
        <v>117280.91794954523</v>
      </c>
      <c r="CO67" s="254">
        <f ca="1">IF(EqInv_Pct=0,0,XNPV(EqInv_ReqIRR,$C66:CO66,$C$58:CO$58))</f>
        <v>118145.83023104184</v>
      </c>
      <c r="CP67" s="254">
        <f ca="1">IF(EqInv_Pct=0,0,XNPV(EqInv_ReqIRR,$C66:CP66,$C$58:CP$58))</f>
        <v>119000.86386846671</v>
      </c>
      <c r="CQ67" s="254">
        <f ca="1">IF(EqInv_Pct=0,0,XNPV(EqInv_ReqIRR,$C66:CQ66,$C$58:CQ$58))</f>
        <v>119845.80809224378</v>
      </c>
      <c r="CR67" s="254">
        <f ca="1">IF(EqInv_Pct=0,0,XNPV(EqInv_ReqIRR,$C66:CR66,$C$58:CR$58))</f>
        <v>120681.10173823888</v>
      </c>
      <c r="CS67" s="254">
        <f ca="1">IF(EqInv_Pct=0,0,XNPV(EqInv_ReqIRR,$C66:CS66,$C$58:CS$58))</f>
        <v>121506.53890287119</v>
      </c>
      <c r="CT67" s="254">
        <f ca="1">IF(EqInv_Pct=0,0,XNPV(EqInv_ReqIRR,$C66:CT66,$C$58:CT$58))</f>
        <v>122322.23589281362</v>
      </c>
      <c r="CU67" s="254">
        <f ca="1">IF(EqInv_Pct=0,0,XNPV(EqInv_ReqIRR,$C66:CU66,$C$58:CU$58))</f>
        <v>123128.61635389364</v>
      </c>
      <c r="CV67" s="254">
        <f ca="1">IF(EqInv_Pct=0,0,XNPV(EqInv_ReqIRR,$C66:CV66,$C$58:CV$58))</f>
        <v>123953.16471051602</v>
      </c>
      <c r="CW67" s="254">
        <f ca="1">IF(EqInv_Pct=0,0,XNPV(EqInv_ReqIRR,$C66:CW66,$C$58:CW$58))</f>
        <v>124768.29544189564</v>
      </c>
      <c r="CX67" s="254">
        <f ca="1">IF(EqInv_Pct=0,0,XNPV(EqInv_ReqIRR,$C66:CX66,$C$58:CX$58))</f>
        <v>125573.80761469936</v>
      </c>
      <c r="CY67" s="254">
        <f ca="1">IF(EqInv_Pct=0,0,XNPV(EqInv_ReqIRR,$C66:CY66,$C$58:CY$58))</f>
        <v>126369.81472810653</v>
      </c>
      <c r="CZ67" s="254">
        <f ca="1">IF(EqInv_Pct=0,0,XNPV(EqInv_ReqIRR,$C66:CZ66,$C$58:CZ$58))</f>
        <v>127157.33306720524</v>
      </c>
      <c r="DA67" s="254">
        <f ca="1">IF(EqInv_Pct=0,0,XNPV(EqInv_ReqIRR,$C66:DA66,$C$58:DA$58))</f>
        <v>127935.55867449712</v>
      </c>
      <c r="DB67" s="254">
        <f ca="1">IF(EqInv_Pct=0,0,XNPV(EqInv_ReqIRR,$C66:DB66,$C$58:DB$58))</f>
        <v>128704.89573442251</v>
      </c>
      <c r="DC67" s="254">
        <f ca="1">IF(EqInv_Pct=0,0,XNPV(EqInv_ReqIRR,$C66:DC66,$C$58:DC$58))</f>
        <v>129465.15460199097</v>
      </c>
      <c r="DD67" s="254">
        <f ca="1">IF(EqInv_Pct=0,0,XNPV(EqInv_ReqIRR,$C66:DD66,$C$58:DD$58))</f>
        <v>130216.73013031713</v>
      </c>
      <c r="DE67" s="254">
        <f ca="1">IF(EqInv_Pct=0,0,XNPV(EqInv_ReqIRR,$C66:DE66,$C$58:DE$58))</f>
        <v>130959.43705270668</v>
      </c>
      <c r="DF67" s="254">
        <f ca="1">IF(EqInv_Pct=0,0,XNPV(EqInv_ReqIRR,$C66:DF66,$C$58:DF$58))</f>
        <v>131693.38001888318</v>
      </c>
      <c r="DG67" s="254">
        <f ca="1">IF(EqInv_Pct=0,0,XNPV(EqInv_ReqIRR,$C66:DG66,$C$58:DG$58))</f>
        <v>132418.9402143592</v>
      </c>
      <c r="DH67" s="254">
        <f ca="1">IF(EqInv_Pct=0,0,XNPV(EqInv_ReqIRR,$C66:DH66,$C$58:DH$58))</f>
        <v>133160.84646324487</v>
      </c>
      <c r="DI67" s="254">
        <f ca="1">IF(EqInv_Pct=0,0,XNPV(EqInv_ReqIRR,$C66:DI66,$C$58:DI$58))</f>
        <v>133894.27898835056</v>
      </c>
      <c r="DJ67" s="254">
        <f ca="1">IF(EqInv_Pct=0,0,XNPV(EqInv_ReqIRR,$C66:DJ66,$C$58:DJ$58))</f>
        <v>134619.05699531257</v>
      </c>
      <c r="DK67" s="254">
        <f ca="1">IF(EqInv_Pct=0,0,XNPV(EqInv_ReqIRR,$C66:DK66,$C$58:DK$58))</f>
        <v>135335.2826076143</v>
      </c>
      <c r="DL67" s="254">
        <f ca="1">IF(EqInv_Pct=0,0,XNPV(EqInv_ReqIRR,$C66:DL66,$C$58:DL$58))</f>
        <v>136043.87025101553</v>
      </c>
      <c r="DM67" s="254">
        <f ca="1">IF(EqInv_Pct=0,0,XNPV(EqInv_ReqIRR,$C66:DM66,$C$58:DM$58))</f>
        <v>136744.0965463632</v>
      </c>
      <c r="DN67" s="254">
        <f ca="1">IF(EqInv_Pct=0,0,XNPV(EqInv_ReqIRR,$C66:DN66,$C$58:DN$58))</f>
        <v>137436.32516785493</v>
      </c>
      <c r="DO67" s="254">
        <f ca="1">IF(EqInv_Pct=0,0,XNPV(EqInv_ReqIRR,$C66:DO66,$C$58:DO$58))</f>
        <v>138120.38547807166</v>
      </c>
      <c r="DP67" s="254">
        <f ca="1">IF(EqInv_Pct=0,0,XNPV(EqInv_ReqIRR,$C66:DP66,$C$58:DP$58))</f>
        <v>138796.63275513719</v>
      </c>
      <c r="DQ67" s="254">
        <f ca="1">IF(EqInv_Pct=0,0,XNPV(EqInv_ReqIRR,$C66:DQ66,$C$58:DQ$58))</f>
        <v>139464.90030110456</v>
      </c>
      <c r="DR67" s="254">
        <f ca="1">IF(EqInv_Pct=0,0,XNPV(EqInv_ReqIRR,$C66:DR66,$C$58:DR$58))</f>
        <v>140125.28227695683</v>
      </c>
      <c r="DS67" s="254">
        <f ca="1">IF(EqInv_Pct=0,0,XNPV(EqInv_ReqIRR,$C66:DS66,$C$58:DS$58))</f>
        <v>140778.12166308021</v>
      </c>
      <c r="DT67" s="254">
        <f ca="1">IF(EqInv_Pct=0,0,XNPV(EqInv_ReqIRR,$C66:DT66,$C$58:DT$58))</f>
        <v>141445.66792798392</v>
      </c>
      <c r="DU67" s="254">
        <f ca="1">IF(EqInv_Pct=0,0,XNPV(EqInv_ReqIRR,$C66:DU66,$C$58:DU$58))</f>
        <v>142105.58977582998</v>
      </c>
      <c r="DV67" s="254">
        <f ca="1">IF(EqInv_Pct=0,0,XNPV(EqInv_ReqIRR,$C66:DV66,$C$58:DV$58))</f>
        <v>142757.72453296205</v>
      </c>
      <c r="DW67" s="254">
        <f ca="1">IF(EqInv_Pct=0,0,XNPV(EqInv_ReqIRR,$C66:DW66,$C$58:DW$58))</f>
        <v>143402.16408720289</v>
      </c>
      <c r="DX67" s="254">
        <f ca="1">IF(EqInv_Pct=0,0,XNPV(EqInv_ReqIRR,$C66:DX66,$C$58:DX$58))</f>
        <v>144039.4871292637</v>
      </c>
      <c r="DY67" s="254">
        <f ca="1">IF(EqInv_Pct=0,0,XNPV(EqInv_ReqIRR,$C66:DY66,$C$58:DY$58))</f>
        <v>144669.28974696086</v>
      </c>
      <c r="DZ67" s="254">
        <f ca="1">IF(EqInv_Pct=0,0,XNPV(EqInv_ReqIRR,$C66:DZ66,$C$58:DZ$58))</f>
        <v>145291.89903878118</v>
      </c>
      <c r="EA67" s="254">
        <f ca="1">IF(EqInv_Pct=0,0,XNPV(EqInv_ReqIRR,$C66:EA66,$C$58:EA$58))</f>
        <v>145907.16152877852</v>
      </c>
      <c r="EB67" s="254">
        <f ca="1">IF(EqInv_Pct=0,0,XNPV(EqInv_ReqIRR,$C66:EB66,$C$58:EB$58))</f>
        <v>146515.39676378205</v>
      </c>
      <c r="EC67" s="254">
        <f ca="1">IF(EqInv_Pct=0,0,XNPV(EqInv_ReqIRR,$C66:EC66,$C$58:EC$58))</f>
        <v>147116.45481111421</v>
      </c>
      <c r="ED67" s="254">
        <f ca="1">IF(EqInv_Pct=0,0,XNPV(EqInv_ReqIRR,$C66:ED66,$C$58:ED$58))</f>
        <v>147710.42036172992</v>
      </c>
      <c r="EE67" s="254">
        <f ca="1">IF(EqInv_Pct=0,0,XNPV(EqInv_ReqIRR,$C66:EE66,$C$58:EE$58))</f>
        <v>148297.60190153791</v>
      </c>
      <c r="EF67" s="254">
        <f ca="1">IF(EqInv_Pct=0,0,XNPV(EqInv_ReqIRR,$C66:EF66,$C$58:EF$58))</f>
        <v>148475.04632852963</v>
      </c>
      <c r="EG67" s="254">
        <f ca="1">IF(EqInv_Pct=0,0,XNPV(EqInv_ReqIRR,$C66:EG66,$C$58:EG$58))</f>
        <v>148650.46406405879</v>
      </c>
      <c r="EH67" s="254">
        <f ca="1">IF(EqInv_Pct=0,0,XNPV(EqInv_ReqIRR,$C66:EH66,$C$58:EH$58))</f>
        <v>148823.81186687716</v>
      </c>
      <c r="EI67" s="254">
        <f ca="1">IF(EqInv_Pct=0,0,XNPV(EqInv_ReqIRR,$C66:EI66,$C$58:EI$58))</f>
        <v>148995.11416223124</v>
      </c>
      <c r="EJ67" s="254">
        <f ca="1">IF(EqInv_Pct=0,0,XNPV(EqInv_ReqIRR,$C66:EJ66,$C$58:EJ$58))</f>
        <v>149164.5896566695</v>
      </c>
      <c r="EK67" s="254">
        <f ca="1">IF(EqInv_Pct=0,0,XNPV(EqInv_ReqIRR,$C66:EK66,$C$58:EK$58))</f>
        <v>149332.0653369581</v>
      </c>
      <c r="EL67" s="254">
        <f ca="1">IF(EqInv_Pct=0,0,XNPV(EqInv_ReqIRR,$C66:EL66,$C$58:EL$58))</f>
        <v>149497.62818438304</v>
      </c>
      <c r="EM67" s="254">
        <f ca="1">IF(EqInv_Pct=0,0,XNPV(EqInv_ReqIRR,$C66:EM66,$C$58:EM$58))</f>
        <v>149661.23738696959</v>
      </c>
      <c r="EN67" s="254">
        <f ca="1">IF(EqInv_Pct=0,0,XNPV(EqInv_ReqIRR,$C66:EN66,$C$58:EN$58))</f>
        <v>149822.97791788413</v>
      </c>
      <c r="EO67" s="254">
        <f ca="1">IF(EqInv_Pct=0,0,XNPV(EqInv_ReqIRR,$C66:EO66,$C$58:EO$58))</f>
        <v>149982.8099073699</v>
      </c>
      <c r="EP67" s="254">
        <f ca="1">IF(EqInv_Pct=0,0,XNPV(EqInv_ReqIRR,$C66:EP66,$C$58:EP$58))</f>
        <v>150140.7558762531</v>
      </c>
      <c r="EQ67" s="254">
        <f ca="1">IF(EqInv_Pct=0,0,XNPV(EqInv_ReqIRR,$C66:EQ66,$C$58:EQ$58))</f>
        <v>150296.89785640527</v>
      </c>
      <c r="ER67" s="254">
        <f ca="1">IF(EqInv_Pct=0,0,XNPV(EqInv_ReqIRR,$C66:ER66,$C$58:ER$58))</f>
        <v>150837.12707944229</v>
      </c>
      <c r="ES67" s="254">
        <f ca="1">IF(EqInv_Pct=0,0,XNPV(EqInv_ReqIRR,$C66:ES66,$C$58:ES$58))</f>
        <v>151371.18604414709</v>
      </c>
      <c r="ET67" s="254">
        <f ca="1">IF(EqInv_Pct=0,0,XNPV(EqInv_ReqIRR,$C66:ET66,$C$58:ET$58))</f>
        <v>151898.94310262112</v>
      </c>
      <c r="EU67" s="254">
        <f ca="1">IF(EqInv_Pct=0,0,XNPV(EqInv_ReqIRR,$C66:EU66,$C$58:EU$58))</f>
        <v>152420.47261748114</v>
      </c>
      <c r="EV67" s="254">
        <f ca="1">IF(EqInv_Pct=0,0,XNPV(EqInv_ReqIRR,$C66:EV66,$C$58:EV$58))</f>
        <v>152936.44044040111</v>
      </c>
      <c r="EW67" s="254">
        <f ca="1">IF(EqInv_Pct=0,0,XNPV(EqInv_ReqIRR,$C66:EW66,$C$58:EW$58))</f>
        <v>153446.31983291724</v>
      </c>
      <c r="EX67" s="254">
        <f ca="1">IF(EqInv_Pct=0,0,XNPV(EqInv_ReqIRR,$C66:EX66,$C$58:EX$58))</f>
        <v>153950.37560939055</v>
      </c>
      <c r="EY67" s="254">
        <f ca="1">IF(EqInv_Pct=0,0,XNPV(EqInv_ReqIRR,$C66:EY66,$C$58:EY$58))</f>
        <v>154448.48351784112</v>
      </c>
      <c r="EZ67" s="254">
        <f ca="1">IF(EqInv_Pct=0,0,XNPV(EqInv_ReqIRR,$C66:EZ66,$C$58:EZ$58))</f>
        <v>154940.90225891347</v>
      </c>
      <c r="FA67" s="254">
        <f ca="1">IF(EqInv_Pct=0,0,XNPV(EqInv_ReqIRR,$C66:FA66,$C$58:FA$58))</f>
        <v>155427.51044920846</v>
      </c>
      <c r="FB67" s="254">
        <f ca="1">IF(EqInv_Pct=0,0,XNPV(EqInv_ReqIRR,$C66:FB66,$C$58:FB$58))</f>
        <v>155908.37665333893</v>
      </c>
      <c r="FC67" s="254">
        <f ca="1">IF(EqInv_Pct=0,0,XNPV(EqInv_ReqIRR,$C66:FC66,$C$58:FC$58))</f>
        <v>156383.7506171829</v>
      </c>
      <c r="FD67" s="254">
        <f ca="1">IF(EqInv_Pct=0,0,XNPV(EqInv_ReqIRR,$C66:FD66,$C$58:FD$58))</f>
        <v>156869.83170511786</v>
      </c>
      <c r="FE67" s="254">
        <f ca="1">IF(EqInv_Pct=0,0,XNPV(EqInv_ReqIRR,$C66:FE66,$C$58:FE$58))</f>
        <v>157350.36099067883</v>
      </c>
      <c r="FF67" s="254">
        <f ca="1">IF(EqInv_Pct=0,0,XNPV(EqInv_ReqIRR,$C66:FF66,$C$58:FF$58))</f>
        <v>157825.22002127004</v>
      </c>
      <c r="FG67" s="254">
        <f ca="1">IF(EqInv_Pct=0,0,XNPV(EqInv_ReqIRR,$C66:FG66,$C$58:FG$58))</f>
        <v>158294.47570601109</v>
      </c>
      <c r="FH67" s="254">
        <f ca="1">IF(EqInv_Pct=0,0,XNPV(EqInv_ReqIRR,$C66:FH66,$C$58:FH$58))</f>
        <v>158758.72715707927</v>
      </c>
      <c r="FI67" s="254">
        <f ca="1">IF(EqInv_Pct=0,0,XNPV(EqInv_ReqIRR,$C66:FI66,$C$58:FI$58))</f>
        <v>159217.50043194316</v>
      </c>
      <c r="FJ67" s="254">
        <f ca="1">IF(EqInv_Pct=0,0,XNPV(EqInv_ReqIRR,$C66:FJ66,$C$58:FJ$58))</f>
        <v>159671.0338021497</v>
      </c>
      <c r="FK67" s="254">
        <f ca="1">IF(EqInv_Pct=0,0,XNPV(EqInv_ReqIRR,$C66:FK66,$C$58:FK$58))</f>
        <v>160119.21546971577</v>
      </c>
      <c r="FL67" s="254">
        <f ca="1">IF(EqInv_Pct=0,0,XNPV(EqInv_ReqIRR,$C66:FL66,$C$58:FL$58))</f>
        <v>160562.27820526055</v>
      </c>
      <c r="FM67" s="254">
        <f ca="1">IF(EqInv_Pct=0,0,XNPV(EqInv_ReqIRR,$C66:FM66,$C$58:FM$58))</f>
        <v>161000.1127918587</v>
      </c>
      <c r="FN67" s="254">
        <f ca="1">IF(EqInv_Pct=0,0,XNPV(EqInv_ReqIRR,$C66:FN66,$C$58:FN$58))</f>
        <v>161432.78092177006</v>
      </c>
      <c r="FO67" s="254">
        <f ca="1">IF(EqInv_Pct=0,0,XNPV(EqInv_ReqIRR,$C66:FO66,$C$58:FO$58))</f>
        <v>161860.50730839945</v>
      </c>
      <c r="FP67" s="254">
        <f ca="1">IF(EqInv_Pct=0,0,XNPV(EqInv_ReqIRR,$C66:FP66,$C$58:FP$58))</f>
        <v>162297.86705161893</v>
      </c>
      <c r="FQ67" s="254">
        <f ca="1">IF(EqInv_Pct=0,0,XNPV(EqInv_ReqIRR,$C66:FQ66,$C$58:FQ$58))</f>
        <v>162730.23146603224</v>
      </c>
      <c r="FR67" s="254">
        <f ca="1">IF(EqInv_Pct=0,0,XNPV(EqInv_ReqIRR,$C66:FR66,$C$58:FR$58))</f>
        <v>163157.49397189755</v>
      </c>
      <c r="FS67" s="254">
        <f ca="1">IF(EqInv_Pct=0,0,XNPV(EqInv_ReqIRR,$C66:FS66,$C$58:FS$58))</f>
        <v>163579.71477183551</v>
      </c>
      <c r="FT67" s="254">
        <f ca="1">IF(EqInv_Pct=0,0,XNPV(EqInv_ReqIRR,$C66:FT66,$C$58:FT$58))</f>
        <v>163997.27300963612</v>
      </c>
      <c r="FU67" s="254">
        <f ca="1">IF(EqInv_Pct=0,0,XNPV(EqInv_ReqIRR,$C66:FU66,$C$58:FU$58))</f>
        <v>164409.9040520624</v>
      </c>
      <c r="FV67" s="254">
        <f ca="1">IF(EqInv_Pct=0,0,XNPV(EqInv_ReqIRR,$C66:FV66,$C$58:FV$58))</f>
        <v>164817.82220592382</v>
      </c>
      <c r="FW67" s="254">
        <f ca="1">IF(EqInv_Pct=0,0,XNPV(EqInv_ReqIRR,$C66:FW66,$C$58:FW$58))</f>
        <v>165220.92691758997</v>
      </c>
      <c r="FX67" s="254">
        <f ca="1">IF(EqInv_Pct=0,0,XNPV(EqInv_ReqIRR,$C66:FX66,$C$58:FX$58))</f>
        <v>165619.42754621163</v>
      </c>
      <c r="FY67" s="254">
        <f ca="1">IF(EqInv_Pct=0,0,XNPV(EqInv_ReqIRR,$C66:FY66,$C$58:FY$58))</f>
        <v>166013.22585962008</v>
      </c>
      <c r="FZ67" s="254">
        <f ca="1">IF(EqInv_Pct=0,0,XNPV(EqInv_ReqIRR,$C66:FZ66,$C$58:FZ$58))</f>
        <v>166402.37734522682</v>
      </c>
      <c r="GA67" s="268">
        <f ca="1">IF(EqInv_Pct=0,0,XNPV(EqInv_ReqIRR,$C66:GA66,$C$58:GA$58))</f>
        <v>166799.35475528735</v>
      </c>
    </row>
    <row r="68" spans="1:183" x14ac:dyDescent="0.15">
      <c r="A68" s="279" t="s">
        <v>301</v>
      </c>
      <c r="C68" s="269">
        <f>-C11+C24</f>
        <v>-130617.06070399999</v>
      </c>
      <c r="D68" s="254">
        <f ca="1">IF(EqInv_Pct=0,0,IF($C68+C67&gt;=0,0,IF($C68+D67&gt;=0,-XNPV(EqInv_ReqIRR,$C68:C68,$C$58:C$58)*FV(EqInv_ReqIRR,(D$58-$C$58)/365,0,-1),D66)))</f>
        <v>1943.663042983809</v>
      </c>
      <c r="E68" s="254">
        <f ca="1">IF(EqInv_Pct=0,0,IF($C68+D67&gt;=0,0,IF($C68+E67&gt;=0,-XNPV(EqInv_ReqIRR,$C68:D68,$C$58:D$58)*FV(EqInv_ReqIRR,(E$58-$C$58)/365,0,-1),E66)))</f>
        <v>1943.663042983809</v>
      </c>
      <c r="F68" s="254">
        <f ca="1">IF(EqInv_Pct=0,0,IF($C68+E67&gt;=0,0,IF($C68+F67&gt;=0,-XNPV(EqInv_ReqIRR,$C68:E68,$C$58:E$58)*FV(EqInv_ReqIRR,(F$58-$C$58)/365,0,-1),F66)))</f>
        <v>1943.663042983809</v>
      </c>
      <c r="G68" s="254">
        <f ca="1">IF(EqInv_Pct=0,0,IF($C68+F67&gt;=0,0,IF($C68+G67&gt;=0,-XNPV(EqInv_ReqIRR,$C68:F68,$C$58:F$58)*FV(EqInv_ReqIRR,(G$58-$C$58)/365,0,-1),G66)))</f>
        <v>1943.663042983809</v>
      </c>
      <c r="H68" s="254">
        <f ca="1">IF(EqInv_Pct=0,0,IF($C68+G67&gt;=0,0,IF($C68+H67&gt;=0,-XNPV(EqInv_ReqIRR,$C68:G68,$C$58:G$58)*FV(EqInv_ReqIRR,(H$58-$C$58)/365,0,-1),H66)))</f>
        <v>1943.663042983809</v>
      </c>
      <c r="I68" s="254">
        <f ca="1">IF(EqInv_Pct=0,0,IF($C68+H67&gt;=0,0,IF($C68+I67&gt;=0,-XNPV(EqInv_ReqIRR,$C68:H68,$C$58:H$58)*FV(EqInv_ReqIRR,(I$58-$C$58)/365,0,-1),I66)))</f>
        <v>1943.663042983809</v>
      </c>
      <c r="J68" s="254">
        <f ca="1">IF(EqInv_Pct=0,0,IF($C68+I67&gt;=0,0,IF($C68+J67&gt;=0,-XNPV(EqInv_ReqIRR,$C68:I68,$C$58:I$58)*FV(EqInv_ReqIRR,(J$58-$C$58)/365,0,-1),J66)))</f>
        <v>1943.663042983809</v>
      </c>
      <c r="K68" s="254">
        <f ca="1">IF(EqInv_Pct=0,0,IF($C68+J67&gt;=0,0,IF($C68+K67&gt;=0,-XNPV(EqInv_ReqIRR,$C68:J68,$C$58:J$58)*FV(EqInv_ReqIRR,(K$58-$C$58)/365,0,-1),K66)))</f>
        <v>1943.663042983809</v>
      </c>
      <c r="L68" s="254">
        <f ca="1">IF(EqInv_Pct=0,0,IF($C68+K67&gt;=0,0,IF($C68+L67&gt;=0,-XNPV(EqInv_ReqIRR,$C68:K68,$C$58:K$58)*FV(EqInv_ReqIRR,(L$58-$C$58)/365,0,-1),L66)))</f>
        <v>1943.663042983809</v>
      </c>
      <c r="M68" s="254">
        <f ca="1">IF(EqInv_Pct=0,0,IF($C68+L67&gt;=0,0,IF($C68+M67&gt;=0,-XNPV(EqInv_ReqIRR,$C68:L68,$C$58:L$58)*FV(EqInv_ReqIRR,(M$58-$C$58)/365,0,-1),M66)))</f>
        <v>1943.663042983809</v>
      </c>
      <c r="N68" s="254">
        <f ca="1">IF(EqInv_Pct=0,0,IF($C68+M67&gt;=0,0,IF($C68+N67&gt;=0,-XNPV(EqInv_ReqIRR,$C68:M68,$C$58:M$58)*FV(EqInv_ReqIRR,(N$58-$C$58)/365,0,-1),N66)))</f>
        <v>1943.663042983809</v>
      </c>
      <c r="O68" s="254">
        <f ca="1">IF(EqInv_Pct=0,0,IF($C68+N67&gt;=0,0,IF($C68+O67&gt;=0,-XNPV(EqInv_ReqIRR,$C68:N68,$C$58:N$58)*FV(EqInv_ReqIRR,(O$58-$C$58)/365,0,-1),O66)))</f>
        <v>1943.663042983809</v>
      </c>
      <c r="P68" s="254">
        <f ca="1">IF(EqInv_Pct=0,0,IF($C68+O67&gt;=0,0,IF($C68+P67&gt;=0,-XNPV(EqInv_ReqIRR,$C68:O68,$C$58:O$58)*FV(EqInv_ReqIRR,(P$58-$C$58)/365,0,-1),P66)))</f>
        <v>2011.2037494882422</v>
      </c>
      <c r="Q68" s="254">
        <f ca="1">IF(EqInv_Pct=0,0,IF($C68+P67&gt;=0,0,IF($C68+Q67&gt;=0,-XNPV(EqInv_ReqIRR,$C68:P68,$C$58:P$58)*FV(EqInv_ReqIRR,(Q$58-$C$58)/365,0,-1),Q66)))</f>
        <v>2011.2037494882422</v>
      </c>
      <c r="R68" s="254">
        <f ca="1">IF(EqInv_Pct=0,0,IF($C68+Q67&gt;=0,0,IF($C68+R67&gt;=0,-XNPV(EqInv_ReqIRR,$C68:Q68,$C$58:Q$58)*FV(EqInv_ReqIRR,(R$58-$C$58)/365,0,-1),R66)))</f>
        <v>2011.2037494882422</v>
      </c>
      <c r="S68" s="254">
        <f ca="1">IF(EqInv_Pct=0,0,IF($C68+R67&gt;=0,0,IF($C68+S67&gt;=0,-XNPV(EqInv_ReqIRR,$C68:R68,$C$58:R$58)*FV(EqInv_ReqIRR,(S$58-$C$58)/365,0,-1),S66)))</f>
        <v>2011.2037494882422</v>
      </c>
      <c r="T68" s="254">
        <f ca="1">IF(EqInv_Pct=0,0,IF($C68+S67&gt;=0,0,IF($C68+T67&gt;=0,-XNPV(EqInv_ReqIRR,$C68:S68,$C$58:S$58)*FV(EqInv_ReqIRR,(T$58-$C$58)/365,0,-1),T66)))</f>
        <v>2011.2037494882422</v>
      </c>
      <c r="U68" s="254">
        <f ca="1">IF(EqInv_Pct=0,0,IF($C68+T67&gt;=0,0,IF($C68+U67&gt;=0,-XNPV(EqInv_ReqIRR,$C68:T68,$C$58:T$58)*FV(EqInv_ReqIRR,(U$58-$C$58)/365,0,-1),U66)))</f>
        <v>2011.2037494882422</v>
      </c>
      <c r="V68" s="254">
        <f ca="1">IF(EqInv_Pct=0,0,IF($C68+U67&gt;=0,0,IF($C68+V67&gt;=0,-XNPV(EqInv_ReqIRR,$C68:U68,$C$58:U$58)*FV(EqInv_ReqIRR,(V$58-$C$58)/365,0,-1),V66)))</f>
        <v>2011.2037494882422</v>
      </c>
      <c r="W68" s="254">
        <f ca="1">IF(EqInv_Pct=0,0,IF($C68+V67&gt;=0,0,IF($C68+W67&gt;=0,-XNPV(EqInv_ReqIRR,$C68:V68,$C$58:V$58)*FV(EqInv_ReqIRR,(W$58-$C$58)/365,0,-1),W66)))</f>
        <v>2011.2037494882422</v>
      </c>
      <c r="X68" s="254">
        <f ca="1">IF(EqInv_Pct=0,0,IF($C68+W67&gt;=0,0,IF($C68+X67&gt;=0,-XNPV(EqInv_ReqIRR,$C68:W68,$C$58:W$58)*FV(EqInv_ReqIRR,(X$58-$C$58)/365,0,-1),X66)))</f>
        <v>2011.2037494882422</v>
      </c>
      <c r="Y68" s="254">
        <f ca="1">IF(EqInv_Pct=0,0,IF($C68+X67&gt;=0,0,IF($C68+Y67&gt;=0,-XNPV(EqInv_ReqIRR,$C68:X68,$C$58:X$58)*FV(EqInv_ReqIRR,(Y$58-$C$58)/365,0,-1),Y66)))</f>
        <v>2011.2037494882422</v>
      </c>
      <c r="Z68" s="254">
        <f ca="1">IF(EqInv_Pct=0,0,IF($C68+Y67&gt;=0,0,IF($C68+Z67&gt;=0,-XNPV(EqInv_ReqIRR,$C68:Y68,$C$58:Y$58)*FV(EqInv_ReqIRR,(Z$58-$C$58)/365,0,-1),Z66)))</f>
        <v>2011.2037494882422</v>
      </c>
      <c r="AA68" s="254">
        <f ca="1">IF(EqInv_Pct=0,0,IF($C68+Z67&gt;=0,0,IF($C68+AA67&gt;=0,-XNPV(EqInv_ReqIRR,$C68:Z68,$C$58:Z$58)*FV(EqInv_ReqIRR,(AA$58-$C$58)/365,0,-1),AA66)))</f>
        <v>2011.2037494882422</v>
      </c>
      <c r="AB68" s="254">
        <f ca="1">IF(EqInv_Pct=0,0,IF($C68+AA67&gt;=0,0,IF($C68+AB67&gt;=0,-XNPV(EqInv_ReqIRR,$C68:AA68,$C$58:AA$58)*FV(EqInv_ReqIRR,(AB$58-$C$58)/365,0,-1),AB66)))</f>
        <v>2081.0888807203305</v>
      </c>
      <c r="AC68" s="254">
        <f ca="1">IF(EqInv_Pct=0,0,IF($C68+AB67&gt;=0,0,IF($C68+AC67&gt;=0,-XNPV(EqInv_ReqIRR,$C68:AB68,$C$58:AB$58)*FV(EqInv_ReqIRR,(AC$58-$C$58)/365,0,-1),AC66)))</f>
        <v>2081.0888807203305</v>
      </c>
      <c r="AD68" s="254">
        <f ca="1">IF(EqInv_Pct=0,0,IF($C68+AC67&gt;=0,0,IF($C68+AD67&gt;=0,-XNPV(EqInv_ReqIRR,$C68:AC68,$C$58:AC$58)*FV(EqInv_ReqIRR,(AD$58-$C$58)/365,0,-1),AD66)))</f>
        <v>2081.0888807203305</v>
      </c>
      <c r="AE68" s="254">
        <f ca="1">IF(EqInv_Pct=0,0,IF($C68+AD67&gt;=0,0,IF($C68+AE67&gt;=0,-XNPV(EqInv_ReqIRR,$C68:AD68,$C$58:AD$58)*FV(EqInv_ReqIRR,(AE$58-$C$58)/365,0,-1),AE66)))</f>
        <v>2081.0888807203305</v>
      </c>
      <c r="AF68" s="254">
        <f ca="1">IF(EqInv_Pct=0,0,IF($C68+AE67&gt;=0,0,IF($C68+AF67&gt;=0,-XNPV(EqInv_ReqIRR,$C68:AE68,$C$58:AE$58)*FV(EqInv_ReqIRR,(AF$58-$C$58)/365,0,-1),AF66)))</f>
        <v>2081.0888807203305</v>
      </c>
      <c r="AG68" s="254">
        <f ca="1">IF(EqInv_Pct=0,0,IF($C68+AF67&gt;=0,0,IF($C68+AG67&gt;=0,-XNPV(EqInv_ReqIRR,$C68:AF68,$C$58:AF$58)*FV(EqInv_ReqIRR,(AG$58-$C$58)/365,0,-1),AG66)))</f>
        <v>2081.0888807203305</v>
      </c>
      <c r="AH68" s="254">
        <f ca="1">IF(EqInv_Pct=0,0,IF($C68+AG67&gt;=0,0,IF($C68+AH67&gt;=0,-XNPV(EqInv_ReqIRR,$C68:AG68,$C$58:AG$58)*FV(EqInv_ReqIRR,(AH$58-$C$58)/365,0,-1),AH66)))</f>
        <v>2081.0888807203305</v>
      </c>
      <c r="AI68" s="254">
        <f ca="1">IF(EqInv_Pct=0,0,IF($C68+AH67&gt;=0,0,IF($C68+AI67&gt;=0,-XNPV(EqInv_ReqIRR,$C68:AH68,$C$58:AH$58)*FV(EqInv_ReqIRR,(AI$58-$C$58)/365,0,-1),AI66)))</f>
        <v>2081.0888807203305</v>
      </c>
      <c r="AJ68" s="254">
        <f ca="1">IF(EqInv_Pct=0,0,IF($C68+AI67&gt;=0,0,IF($C68+AJ67&gt;=0,-XNPV(EqInv_ReqIRR,$C68:AI68,$C$58:AI$58)*FV(EqInv_ReqIRR,(AJ$58-$C$58)/365,0,-1),AJ66)))</f>
        <v>2081.0888807203305</v>
      </c>
      <c r="AK68" s="254">
        <f ca="1">IF(EqInv_Pct=0,0,IF($C68+AJ67&gt;=0,0,IF($C68+AK67&gt;=0,-XNPV(EqInv_ReqIRR,$C68:AJ68,$C$58:AJ$58)*FV(EqInv_ReqIRR,(AK$58-$C$58)/365,0,-1),AK66)))</f>
        <v>2081.0888807203305</v>
      </c>
      <c r="AL68" s="254">
        <f ca="1">IF(EqInv_Pct=0,0,IF($C68+AK67&gt;=0,0,IF($C68+AL67&gt;=0,-XNPV(EqInv_ReqIRR,$C68:AK68,$C$58:AK$58)*FV(EqInv_ReqIRR,(AL$58-$C$58)/365,0,-1),AL66)))</f>
        <v>2081.0888807203305</v>
      </c>
      <c r="AM68" s="254">
        <f ca="1">IF(EqInv_Pct=0,0,IF($C68+AL67&gt;=0,0,IF($C68+AM67&gt;=0,-XNPV(EqInv_ReqIRR,$C68:AL68,$C$58:AL$58)*FV(EqInv_ReqIRR,(AM$58-$C$58)/365,0,-1),AM66)))</f>
        <v>2081.0888807203305</v>
      </c>
      <c r="AN68" s="254">
        <f ca="1">IF(EqInv_Pct=0,0,IF($C68+AM67&gt;=0,0,IF($C68+AN67&gt;=0,-XNPV(EqInv_ReqIRR,$C68:AM68,$C$58:AM$58)*FV(EqInv_ReqIRR,(AN$58-$C$58)/365,0,-1),AN66)))</f>
        <v>2153.3997115455418</v>
      </c>
      <c r="AO68" s="254">
        <f ca="1">IF(EqInv_Pct=0,0,IF($C68+AN67&gt;=0,0,IF($C68+AO67&gt;=0,-XNPV(EqInv_ReqIRR,$C68:AN68,$C$58:AN$58)*FV(EqInv_ReqIRR,(AO$58-$C$58)/365,0,-1),AO66)))</f>
        <v>2153.3997115455418</v>
      </c>
      <c r="AP68" s="254">
        <f ca="1">IF(EqInv_Pct=0,0,IF($C68+AO67&gt;=0,0,IF($C68+AP67&gt;=0,-XNPV(EqInv_ReqIRR,$C68:AO68,$C$58:AO$58)*FV(EqInv_ReqIRR,(AP$58-$C$58)/365,0,-1),AP66)))</f>
        <v>2153.3997115455418</v>
      </c>
      <c r="AQ68" s="254">
        <f ca="1">IF(EqInv_Pct=0,0,IF($C68+AP67&gt;=0,0,IF($C68+AQ67&gt;=0,-XNPV(EqInv_ReqIRR,$C68:AP68,$C$58:AP$58)*FV(EqInv_ReqIRR,(AQ$58-$C$58)/365,0,-1),AQ66)))</f>
        <v>2153.3997115455418</v>
      </c>
      <c r="AR68" s="254">
        <f ca="1">IF(EqInv_Pct=0,0,IF($C68+AQ67&gt;=0,0,IF($C68+AR67&gt;=0,-XNPV(EqInv_ReqIRR,$C68:AQ68,$C$58:AQ$58)*FV(EqInv_ReqIRR,(AR$58-$C$58)/365,0,-1),AR66)))</f>
        <v>2153.3997115455418</v>
      </c>
      <c r="AS68" s="254">
        <f ca="1">IF(EqInv_Pct=0,0,IF($C68+AR67&gt;=0,0,IF($C68+AS67&gt;=0,-XNPV(EqInv_ReqIRR,$C68:AR68,$C$58:AR$58)*FV(EqInv_ReqIRR,(AS$58-$C$58)/365,0,-1),AS66)))</f>
        <v>2153.3997115455418</v>
      </c>
      <c r="AT68" s="254">
        <f ca="1">IF(EqInv_Pct=0,0,IF($C68+AS67&gt;=0,0,IF($C68+AT67&gt;=0,-XNPV(EqInv_ReqIRR,$C68:AS68,$C$58:AS$58)*FV(EqInv_ReqIRR,(AT$58-$C$58)/365,0,-1),AT66)))</f>
        <v>2153.3997115455418</v>
      </c>
      <c r="AU68" s="254">
        <f ca="1">IF(EqInv_Pct=0,0,IF($C68+AT67&gt;=0,0,IF($C68+AU67&gt;=0,-XNPV(EqInv_ReqIRR,$C68:AT68,$C$58:AT$58)*FV(EqInv_ReqIRR,(AU$58-$C$58)/365,0,-1),AU66)))</f>
        <v>2153.3997115455418</v>
      </c>
      <c r="AV68" s="254">
        <f ca="1">IF(EqInv_Pct=0,0,IF($C68+AU67&gt;=0,0,IF($C68+AV67&gt;=0,-XNPV(EqInv_ReqIRR,$C68:AU68,$C$58:AU$58)*FV(EqInv_ReqIRR,(AV$58-$C$58)/365,0,-1),AV66)))</f>
        <v>2153.3997115455418</v>
      </c>
      <c r="AW68" s="254">
        <f ca="1">IF(EqInv_Pct=0,0,IF($C68+AV67&gt;=0,0,IF($C68+AW67&gt;=0,-XNPV(EqInv_ReqIRR,$C68:AV68,$C$58:AV$58)*FV(EqInv_ReqIRR,(AW$58-$C$58)/365,0,-1),AW66)))</f>
        <v>2153.3997115455418</v>
      </c>
      <c r="AX68" s="254">
        <f ca="1">IF(EqInv_Pct=0,0,IF($C68+AW67&gt;=0,0,IF($C68+AX67&gt;=0,-XNPV(EqInv_ReqIRR,$C68:AW68,$C$58:AW$58)*FV(EqInv_ReqIRR,(AX$58-$C$58)/365,0,-1),AX66)))</f>
        <v>2153.3997115455418</v>
      </c>
      <c r="AY68" s="254">
        <f ca="1">IF(EqInv_Pct=0,0,IF($C68+AX67&gt;=0,0,IF($C68+AY67&gt;=0,-XNPV(EqInv_ReqIRR,$C68:AX68,$C$58:AX$58)*FV(EqInv_ReqIRR,(AY$58-$C$58)/365,0,-1),AY66)))</f>
        <v>2153.3997115455418</v>
      </c>
      <c r="AZ68" s="254">
        <f ca="1">IF(EqInv_Pct=0,0,IF($C68+AY67&gt;=0,0,IF($C68+AZ67&gt;=0,-XNPV(EqInv_ReqIRR,$C68:AY68,$C$58:AY$58)*FV(EqInv_ReqIRR,(AZ$58-$C$58)/365,0,-1),AZ66)))</f>
        <v>2228.2203302496359</v>
      </c>
      <c r="BA68" s="254">
        <f ca="1">IF(EqInv_Pct=0,0,IF($C68+AZ67&gt;=0,0,IF($C68+BA67&gt;=0,-XNPV(EqInv_ReqIRR,$C68:AZ68,$C$58:AZ$58)*FV(EqInv_ReqIRR,(BA$58-$C$58)/365,0,-1),BA66)))</f>
        <v>2228.2203302496359</v>
      </c>
      <c r="BB68" s="254">
        <f ca="1">IF(EqInv_Pct=0,0,IF($C68+BA67&gt;=0,0,IF($C68+BB67&gt;=0,-XNPV(EqInv_ReqIRR,$C68:BA68,$C$58:BA$58)*FV(EqInv_ReqIRR,(BB$58-$C$58)/365,0,-1),BB66)))</f>
        <v>2228.2203302496359</v>
      </c>
      <c r="BC68" s="254">
        <f ca="1">IF(EqInv_Pct=0,0,IF($C68+BB67&gt;=0,0,IF($C68+BC67&gt;=0,-XNPV(EqInv_ReqIRR,$C68:BB68,$C$58:BB$58)*FV(EqInv_ReqIRR,(BC$58-$C$58)/365,0,-1),BC66)))</f>
        <v>2228.2203302496359</v>
      </c>
      <c r="BD68" s="254">
        <f ca="1">IF(EqInv_Pct=0,0,IF($C68+BC67&gt;=0,0,IF($C68+BD67&gt;=0,-XNPV(EqInv_ReqIRR,$C68:BC68,$C$58:BC$58)*FV(EqInv_ReqIRR,(BD$58-$C$58)/365,0,-1),BD66)))</f>
        <v>2228.2203302496359</v>
      </c>
      <c r="BE68" s="254">
        <f ca="1">IF(EqInv_Pct=0,0,IF($C68+BD67&gt;=0,0,IF($C68+BE67&gt;=0,-XNPV(EqInv_ReqIRR,$C68:BD68,$C$58:BD$58)*FV(EqInv_ReqIRR,(BE$58-$C$58)/365,0,-1),BE66)))</f>
        <v>2228.2203302496359</v>
      </c>
      <c r="BF68" s="254">
        <f ca="1">IF(EqInv_Pct=0,0,IF($C68+BE67&gt;=0,0,IF($C68+BF67&gt;=0,-XNPV(EqInv_ReqIRR,$C68:BE68,$C$58:BE$58)*FV(EqInv_ReqIRR,(BF$58-$C$58)/365,0,-1),BF66)))</f>
        <v>2228.2203302496359</v>
      </c>
      <c r="BG68" s="254">
        <f ca="1">IF(EqInv_Pct=0,0,IF($C68+BF67&gt;=0,0,IF($C68+BG67&gt;=0,-XNPV(EqInv_ReqIRR,$C68:BF68,$C$58:BF$58)*FV(EqInv_ReqIRR,(BG$58-$C$58)/365,0,-1),BG66)))</f>
        <v>2228.2203302496359</v>
      </c>
      <c r="BH68" s="254">
        <f ca="1">IF(EqInv_Pct=0,0,IF($C68+BG67&gt;=0,0,IF($C68+BH67&gt;=0,-XNPV(EqInv_ReqIRR,$C68:BG68,$C$58:BG$58)*FV(EqInv_ReqIRR,(BH$58-$C$58)/365,0,-1),BH66)))</f>
        <v>2228.2203302496359</v>
      </c>
      <c r="BI68" s="254">
        <f ca="1">IF(EqInv_Pct=0,0,IF($C68+BH67&gt;=0,0,IF($C68+BI67&gt;=0,-XNPV(EqInv_ReqIRR,$C68:BH68,$C$58:BH$58)*FV(EqInv_ReqIRR,(BI$58-$C$58)/365,0,-1),BI66)))</f>
        <v>2228.2203302496359</v>
      </c>
      <c r="BJ68" s="254">
        <f ca="1">IF(EqInv_Pct=0,0,IF($C68+BI67&gt;=0,0,IF($C68+BJ67&gt;=0,-XNPV(EqInv_ReqIRR,$C68:BI68,$C$58:BI$58)*FV(EqInv_ReqIRR,(BJ$58-$C$58)/365,0,-1),BJ66)))</f>
        <v>2228.2203302496359</v>
      </c>
      <c r="BK68" s="254">
        <f ca="1">IF(EqInv_Pct=0,0,IF($C68+BJ67&gt;=0,0,IF($C68+BK67&gt;=0,-XNPV(EqInv_ReqIRR,$C68:BJ68,$C$58:BJ$58)*FV(EqInv_ReqIRR,(BK$58-$C$58)/365,0,-1),BK66)))</f>
        <v>2228.2203302496359</v>
      </c>
      <c r="BL68" s="254">
        <f ca="1">IF(EqInv_Pct=0,0,IF($C68+BK67&gt;=0,0,IF($C68+BL67&gt;=0,-XNPV(EqInv_ReqIRR,$C68:BK68,$C$58:BK$58)*FV(EqInv_ReqIRR,(BL$58-$C$58)/365,0,-1),BL66)))</f>
        <v>2305.6377357603728</v>
      </c>
      <c r="BM68" s="254">
        <f ca="1">IF(EqInv_Pct=0,0,IF($C68+BL67&gt;=0,0,IF($C68+BM67&gt;=0,-XNPV(EqInv_ReqIRR,$C68:BL68,$C$58:BL$58)*FV(EqInv_ReqIRR,(BM$58-$C$58)/365,0,-1),BM66)))</f>
        <v>2305.6377357603728</v>
      </c>
      <c r="BN68" s="254">
        <f ca="1">IF(EqInv_Pct=0,0,IF($C68+BM67&gt;=0,0,IF($C68+BN67&gt;=0,-XNPV(EqInv_ReqIRR,$C68:BM68,$C$58:BM$58)*FV(EqInv_ReqIRR,(BN$58-$C$58)/365,0,-1),BN66)))</f>
        <v>2305.6377357603728</v>
      </c>
      <c r="BO68" s="254">
        <f ca="1">IF(EqInv_Pct=0,0,IF($C68+BN67&gt;=0,0,IF($C68+BO67&gt;=0,-XNPV(EqInv_ReqIRR,$C68:BN68,$C$58:BN$58)*FV(EqInv_ReqIRR,(BO$58-$C$58)/365,0,-1),BO66)))</f>
        <v>2305.6377357603728</v>
      </c>
      <c r="BP68" s="254">
        <f ca="1">IF(EqInv_Pct=0,0,IF($C68+BO67&gt;=0,0,IF($C68+BP67&gt;=0,-XNPV(EqInv_ReqIRR,$C68:BO68,$C$58:BO$58)*FV(EqInv_ReqIRR,(BP$58-$C$58)/365,0,-1),BP66)))</f>
        <v>2305.6377357603728</v>
      </c>
      <c r="BQ68" s="254">
        <f ca="1">IF(EqInv_Pct=0,0,IF($C68+BP67&gt;=0,0,IF($C68+BQ67&gt;=0,-XNPV(EqInv_ReqIRR,$C68:BP68,$C$58:BP$58)*FV(EqInv_ReqIRR,(BQ$58-$C$58)/365,0,-1),BQ66)))</f>
        <v>2305.6377357603728</v>
      </c>
      <c r="BR68" s="254">
        <f ca="1">IF(EqInv_Pct=0,0,IF($C68+BQ67&gt;=0,0,IF($C68+BR67&gt;=0,-XNPV(EqInv_ReqIRR,$C68:BQ68,$C$58:BQ$58)*FV(EqInv_ReqIRR,(BR$58-$C$58)/365,0,-1),BR66)))</f>
        <v>2305.6377357603728</v>
      </c>
      <c r="BS68" s="254">
        <f ca="1">IF(EqInv_Pct=0,0,IF($C68+BR67&gt;=0,0,IF($C68+BS67&gt;=0,-XNPV(EqInv_ReqIRR,$C68:BR68,$C$58:BR$58)*FV(EqInv_ReqIRR,(BS$58-$C$58)/365,0,-1),BS66)))</f>
        <v>2305.6377357603728</v>
      </c>
      <c r="BT68" s="254">
        <f ca="1">IF(EqInv_Pct=0,0,IF($C68+BS67&gt;=0,0,IF($C68+BT67&gt;=0,-XNPV(EqInv_ReqIRR,$C68:BS68,$C$58:BS$58)*FV(EqInv_ReqIRR,(BT$58-$C$58)/365,0,-1),BT66)))</f>
        <v>2305.6377357603728</v>
      </c>
      <c r="BU68" s="254">
        <f ca="1">IF(EqInv_Pct=0,0,IF($C68+BT67&gt;=0,0,IF($C68+BU67&gt;=0,-XNPV(EqInv_ReqIRR,$C68:BT68,$C$58:BT$58)*FV(EqInv_ReqIRR,(BU$58-$C$58)/365,0,-1),BU66)))</f>
        <v>2305.6377357603728</v>
      </c>
      <c r="BV68" s="254">
        <f ca="1">IF(EqInv_Pct=0,0,IF($C68+BU67&gt;=0,0,IF($C68+BV67&gt;=0,-XNPV(EqInv_ReqIRR,$C68:BU68,$C$58:BU$58)*FV(EqInv_ReqIRR,(BV$58-$C$58)/365,0,-1),BV66)))</f>
        <v>2305.6377357603728</v>
      </c>
      <c r="BW68" s="254">
        <f ca="1">IF(EqInv_Pct=0,0,IF($C68+BV67&gt;=0,0,IF($C68+BW67&gt;=0,-XNPV(EqInv_ReqIRR,$C68:BV68,$C$58:BV$58)*FV(EqInv_ReqIRR,(BW$58-$C$58)/365,0,-1),BW66)))</f>
        <v>2305.6377357603728</v>
      </c>
      <c r="BX68" s="254">
        <f ca="1">IF(EqInv_Pct=0,0,IF($C68+BW67&gt;=0,0,IF($C68+BX67&gt;=0,-XNPV(EqInv_ReqIRR,$C68:BW68,$C$58:BW$58)*FV(EqInv_ReqIRR,(BX$58-$C$58)/365,0,-1),BX66)))</f>
        <v>2385.7419382220655</v>
      </c>
      <c r="BY68" s="254">
        <f ca="1">IF(EqInv_Pct=0,0,IF($C68+BX67&gt;=0,0,IF($C68+BY67&gt;=0,-XNPV(EqInv_ReqIRR,$C68:BX68,$C$58:BX$58)*FV(EqInv_ReqIRR,(BY$58-$C$58)/365,0,-1),BY66)))</f>
        <v>2385.7419382220655</v>
      </c>
      <c r="BZ68" s="254">
        <f ca="1">IF(EqInv_Pct=0,0,IF($C68+BY67&gt;=0,0,IF($C68+BZ67&gt;=0,-XNPV(EqInv_ReqIRR,$C68:BY68,$C$58:BY$58)*FV(EqInv_ReqIRR,(BZ$58-$C$58)/365,0,-1),BZ66)))</f>
        <v>2385.7419382220655</v>
      </c>
      <c r="CA68" s="254">
        <f ca="1">IF(EqInv_Pct=0,0,IF($C68+BZ67&gt;=0,0,IF($C68+CA67&gt;=0,-XNPV(EqInv_ReqIRR,$C68:BZ68,$C$58:BZ$58)*FV(EqInv_ReqIRR,(CA$58-$C$58)/365,0,-1),CA66)))</f>
        <v>2385.7419382220655</v>
      </c>
      <c r="CB68" s="254">
        <f ca="1">IF(EqInv_Pct=0,0,IF($C68+CA67&gt;=0,0,IF($C68+CB67&gt;=0,-XNPV(EqInv_ReqIRR,$C68:CA68,$C$58:CA$58)*FV(EqInv_ReqIRR,(CB$58-$C$58)/365,0,-1),CB66)))</f>
        <v>2385.7419382220655</v>
      </c>
      <c r="CC68" s="254">
        <f ca="1">IF(EqInv_Pct=0,0,IF($C68+CB67&gt;=0,0,IF($C68+CC67&gt;=0,-XNPV(EqInv_ReqIRR,$C68:CB68,$C$58:CB$58)*FV(EqInv_ReqIRR,(CC$58-$C$58)/365,0,-1),CC66)))</f>
        <v>2385.7419382220655</v>
      </c>
      <c r="CD68" s="254">
        <f ca="1">IF(EqInv_Pct=0,0,IF($C68+CC67&gt;=0,0,IF($C68+CD67&gt;=0,-XNPV(EqInv_ReqIRR,$C68:CC68,$C$58:CC$58)*FV(EqInv_ReqIRR,(CD$58-$C$58)/365,0,-1),CD66)))</f>
        <v>2385.7419382220655</v>
      </c>
      <c r="CE68" s="254">
        <f ca="1">IF(EqInv_Pct=0,0,IF($C68+CD67&gt;=0,0,IF($C68+CE67&gt;=0,-XNPV(EqInv_ReqIRR,$C68:CD68,$C$58:CD$58)*FV(EqInv_ReqIRR,(CE$58-$C$58)/365,0,-1),CE66)))</f>
        <v>2385.7419382220655</v>
      </c>
      <c r="CF68" s="254">
        <f ca="1">IF(EqInv_Pct=0,0,IF($C68+CE67&gt;=0,0,IF($C68+CF67&gt;=0,-XNPV(EqInv_ReqIRR,$C68:CE68,$C$58:CE$58)*FV(EqInv_ReqIRR,(CF$58-$C$58)/365,0,-1),CF66)))</f>
        <v>2385.7419382220655</v>
      </c>
      <c r="CG68" s="254">
        <f ca="1">IF(EqInv_Pct=0,0,IF($C68+CF67&gt;=0,0,IF($C68+CG67&gt;=0,-XNPV(EqInv_ReqIRR,$C68:CF68,$C$58:CF$58)*FV(EqInv_ReqIRR,(CG$58-$C$58)/365,0,-1),CG66)))</f>
        <v>2385.7419382220655</v>
      </c>
      <c r="CH68" s="254">
        <f ca="1">IF(EqInv_Pct=0,0,IF($C68+CG67&gt;=0,0,IF($C68+CH67&gt;=0,-XNPV(EqInv_ReqIRR,$C68:CG68,$C$58:CG$58)*FV(EqInv_ReqIRR,(CH$58-$C$58)/365,0,-1),CH66)))</f>
        <v>2385.7419382220655</v>
      </c>
      <c r="CI68" s="254">
        <f ca="1">IF(EqInv_Pct=0,0,IF($C68+CH67&gt;=0,0,IF($C68+CI67&gt;=0,-XNPV(EqInv_ReqIRR,$C68:CH68,$C$58:CH$58)*FV(EqInv_ReqIRR,(CI$58-$C$58)/365,0,-1),CI66)))</f>
        <v>2385.7419382220655</v>
      </c>
      <c r="CJ68" s="254">
        <f ca="1">IF(EqInv_Pct=0,0,IF($C68+CI67&gt;=0,0,IF($C68+CJ67&gt;=0,-XNPV(EqInv_ReqIRR,$C68:CI68,$C$58:CI$58)*FV(EqInv_ReqIRR,(CJ$58-$C$58)/365,0,-1),CJ66)))</f>
        <v>2468.6260630383208</v>
      </c>
      <c r="CK68" s="254">
        <f ca="1">IF(EqInv_Pct=0,0,IF($C68+CJ67&gt;=0,0,IF($C68+CK67&gt;=0,-XNPV(EqInv_ReqIRR,$C68:CJ68,$C$58:CJ$58)*FV(EqInv_ReqIRR,(CK$58-$C$58)/365,0,-1),CK66)))</f>
        <v>2468.6260630383208</v>
      </c>
      <c r="CL68" s="254">
        <f ca="1">IF(EqInv_Pct=0,0,IF($C68+CK67&gt;=0,0,IF($C68+CL67&gt;=0,-XNPV(EqInv_ReqIRR,$C68:CK68,$C$58:CK$58)*FV(EqInv_ReqIRR,(CL$58-$C$58)/365,0,-1),CL66)))</f>
        <v>2468.6260630383208</v>
      </c>
      <c r="CM68" s="254">
        <f ca="1">IF(EqInv_Pct=0,0,IF($C68+CL67&gt;=0,0,IF($C68+CM67&gt;=0,-XNPV(EqInv_ReqIRR,$C68:CL68,$C$58:CL$58)*FV(EqInv_ReqIRR,(CM$58-$C$58)/365,0,-1),CM66)))</f>
        <v>2468.6260630383208</v>
      </c>
      <c r="CN68" s="254">
        <f ca="1">IF(EqInv_Pct=0,0,IF($C68+CM67&gt;=0,0,IF($C68+CN67&gt;=0,-XNPV(EqInv_ReqIRR,$C68:CM68,$C$58:CM$58)*FV(EqInv_ReqIRR,(CN$58-$C$58)/365,0,-1),CN66)))</f>
        <v>2468.6260630383208</v>
      </c>
      <c r="CO68" s="254">
        <f ca="1">IF(EqInv_Pct=0,0,IF($C68+CN67&gt;=0,0,IF($C68+CO67&gt;=0,-XNPV(EqInv_ReqIRR,$C68:CN68,$C$58:CN$58)*FV(EqInv_ReqIRR,(CO$58-$C$58)/365,0,-1),CO66)))</f>
        <v>2468.6260630383208</v>
      </c>
      <c r="CP68" s="254">
        <f ca="1">IF(EqInv_Pct=0,0,IF($C68+CO67&gt;=0,0,IF($C68+CP67&gt;=0,-XNPV(EqInv_ReqIRR,$C68:CO68,$C$58:CO$58)*FV(EqInv_ReqIRR,(CP$58-$C$58)/365,0,-1),CP66)))</f>
        <v>2468.6260630383208</v>
      </c>
      <c r="CQ68" s="254">
        <f ca="1">IF(EqInv_Pct=0,0,IF($C68+CP67&gt;=0,0,IF($C68+CQ67&gt;=0,-XNPV(EqInv_ReqIRR,$C68:CP68,$C$58:CP$58)*FV(EqInv_ReqIRR,(CQ$58-$C$58)/365,0,-1),CQ66)))</f>
        <v>2468.6260630383208</v>
      </c>
      <c r="CR68" s="254">
        <f ca="1">IF(EqInv_Pct=0,0,IF($C68+CQ67&gt;=0,0,IF($C68+CR67&gt;=0,-XNPV(EqInv_ReqIRR,$C68:CQ68,$C$58:CQ$58)*FV(EqInv_ReqIRR,(CR$58-$C$58)/365,0,-1),CR66)))</f>
        <v>2468.6260630383208</v>
      </c>
      <c r="CS68" s="254">
        <f ca="1">IF(EqInv_Pct=0,0,IF($C68+CR67&gt;=0,0,IF($C68+CS67&gt;=0,-XNPV(EqInv_ReqIRR,$C68:CR68,$C$58:CR$58)*FV(EqInv_ReqIRR,(CS$58-$C$58)/365,0,-1),CS66)))</f>
        <v>2468.6260630383208</v>
      </c>
      <c r="CT68" s="254">
        <f ca="1">IF(EqInv_Pct=0,0,IF($C68+CS67&gt;=0,0,IF($C68+CT67&gt;=0,-XNPV(EqInv_ReqIRR,$C68:CS68,$C$58:CS$58)*FV(EqInv_ReqIRR,(CT$58-$C$58)/365,0,-1),CT66)))</f>
        <v>2468.6260630383208</v>
      </c>
      <c r="CU68" s="254">
        <f ca="1">IF(EqInv_Pct=0,0,IF($C68+CT67&gt;=0,0,IF($C68+CU67&gt;=0,-XNPV(EqInv_ReqIRR,$C68:CT68,$C$58:CT$58)*FV(EqInv_ReqIRR,(CU$58-$C$58)/365,0,-1),CU66)))</f>
        <v>2468.6260630383208</v>
      </c>
      <c r="CV68" s="254">
        <f ca="1">IF(EqInv_Pct=0,0,IF($C68+CU67&gt;=0,0,IF($C68+CV67&gt;=0,-XNPV(EqInv_ReqIRR,$C68:CU68,$C$58:CU$58)*FV(EqInv_ReqIRR,(CV$58-$C$58)/365,0,-1),CV66)))</f>
        <v>2554.3864585022843</v>
      </c>
      <c r="CW68" s="254">
        <f ca="1">IF(EqInv_Pct=0,0,IF($C68+CV67&gt;=0,0,IF($C68+CW67&gt;=0,-XNPV(EqInv_ReqIRR,$C68:CV68,$C$58:CV$58)*FV(EqInv_ReqIRR,(CW$58-$C$58)/365,0,-1),CW66)))</f>
        <v>2554.3864585022843</v>
      </c>
      <c r="CX68" s="254">
        <f ca="1">IF(EqInv_Pct=0,0,IF($C68+CW67&gt;=0,0,IF($C68+CX67&gt;=0,-XNPV(EqInv_ReqIRR,$C68:CW68,$C$58:CW$58)*FV(EqInv_ReqIRR,(CX$58-$C$58)/365,0,-1),CX66)))</f>
        <v>2554.3864585022843</v>
      </c>
      <c r="CY68" s="254">
        <f ca="1">IF(EqInv_Pct=0,0,IF($C68+CX67&gt;=0,0,IF($C68+CY67&gt;=0,-XNPV(EqInv_ReqIRR,$C68:CX68,$C$58:CX$58)*FV(EqInv_ReqIRR,(CY$58-$C$58)/365,0,-1),CY66)))</f>
        <v>2554.3864585022843</v>
      </c>
      <c r="CZ68" s="254">
        <f ca="1">IF(EqInv_Pct=0,0,IF($C68+CY67&gt;=0,0,IF($C68+CZ67&gt;=0,-XNPV(EqInv_ReqIRR,$C68:CY68,$C$58:CY$58)*FV(EqInv_ReqIRR,(CZ$58-$C$58)/365,0,-1),CZ66)))</f>
        <v>2554.3864585022843</v>
      </c>
      <c r="DA68" s="254">
        <f ca="1">IF(EqInv_Pct=0,0,IF($C68+CZ67&gt;=0,0,IF($C68+DA67&gt;=0,-XNPV(EqInv_ReqIRR,$C68:CZ68,$C$58:CZ$58)*FV(EqInv_ReqIRR,(DA$58-$C$58)/365,0,-1),DA66)))</f>
        <v>2554.3864585022843</v>
      </c>
      <c r="DB68" s="254">
        <f ca="1">IF(EqInv_Pct=0,0,IF($C68+DA67&gt;=0,0,IF($C68+DB67&gt;=0,-XNPV(EqInv_ReqIRR,$C68:DA68,$C$58:DA$58)*FV(EqInv_ReqIRR,(DB$58-$C$58)/365,0,-1),DB66)))</f>
        <v>2554.3864585022843</v>
      </c>
      <c r="DC68" s="254">
        <f ca="1">IF(EqInv_Pct=0,0,IF($C68+DB67&gt;=0,0,IF($C68+DC67&gt;=0,-XNPV(EqInv_ReqIRR,$C68:DB68,$C$58:DB$58)*FV(EqInv_ReqIRR,(DC$58-$C$58)/365,0,-1),DC66)))</f>
        <v>2554.3864585022843</v>
      </c>
      <c r="DD68" s="254">
        <f ca="1">IF(EqInv_Pct=0,0,IF($C68+DC67&gt;=0,0,IF($C68+DD67&gt;=0,-XNPV(EqInv_ReqIRR,$C68:DC68,$C$58:DC$58)*FV(EqInv_ReqIRR,(DD$58-$C$58)/365,0,-1),DD66)))</f>
        <v>2554.3864585022843</v>
      </c>
      <c r="DE68" s="254">
        <f ca="1">IF(EqInv_Pct=0,0,IF($C68+DD67&gt;=0,0,IF($C68+DE67&gt;=0,-XNPV(EqInv_ReqIRR,$C68:DD68,$C$58:DD$58)*FV(EqInv_ReqIRR,(DE$58-$C$58)/365,0,-1),DE66)))</f>
        <v>1376.8539992195397</v>
      </c>
      <c r="DF68" s="254">
        <f ca="1">IF(EqInv_Pct=0,0,IF($C68+DE67&gt;=0,0,IF($C68+DF67&gt;=0,-XNPV(EqInv_ReqIRR,$C68:DE68,$C$58:DE$58)*FV(EqInv_ReqIRR,(DF$58-$C$58)/365,0,-1),DF66)))</f>
        <v>0</v>
      </c>
      <c r="DG68" s="254">
        <f ca="1">IF(EqInv_Pct=0,0,IF($C68+DF67&gt;=0,0,IF($C68+DG67&gt;=0,-XNPV(EqInv_ReqIRR,$C68:DF68,$C$58:DF$58)*FV(EqInv_ReqIRR,(DG$58-$C$58)/365,0,-1),DG66)))</f>
        <v>0</v>
      </c>
      <c r="DH68" s="254">
        <f ca="1">IF(EqInv_Pct=0,0,IF($C68+DG67&gt;=0,0,IF($C68+DH67&gt;=0,-XNPV(EqInv_ReqIRR,$C68:DG68,$C$58:DG$58)*FV(EqInv_ReqIRR,(DH$58-$C$58)/365,0,-1),DH66)))</f>
        <v>0</v>
      </c>
      <c r="DI68" s="254">
        <f ca="1">IF(EqInv_Pct=0,0,IF($C68+DH67&gt;=0,0,IF($C68+DI67&gt;=0,-XNPV(EqInv_ReqIRR,$C68:DH68,$C$58:DH$58)*FV(EqInv_ReqIRR,(DI$58-$C$58)/365,0,-1),DI66)))</f>
        <v>0</v>
      </c>
      <c r="DJ68" s="254">
        <f ca="1">IF(EqInv_Pct=0,0,IF($C68+DI67&gt;=0,0,IF($C68+DJ67&gt;=0,-XNPV(EqInv_ReqIRR,$C68:DI68,$C$58:DI$58)*FV(EqInv_ReqIRR,(DJ$58-$C$58)/365,0,-1),DJ66)))</f>
        <v>0</v>
      </c>
      <c r="DK68" s="254">
        <f ca="1">IF(EqInv_Pct=0,0,IF($C68+DJ67&gt;=0,0,IF($C68+DK67&gt;=0,-XNPV(EqInv_ReqIRR,$C68:DJ68,$C$58:DJ$58)*FV(EqInv_ReqIRR,(DK$58-$C$58)/365,0,-1),DK66)))</f>
        <v>0</v>
      </c>
      <c r="DL68" s="254">
        <f ca="1">IF(EqInv_Pct=0,0,IF($C68+DK67&gt;=0,0,IF($C68+DL67&gt;=0,-XNPV(EqInv_ReqIRR,$C68:DK68,$C$58:DK$58)*FV(EqInv_ReqIRR,(DL$58-$C$58)/365,0,-1),DL66)))</f>
        <v>0</v>
      </c>
      <c r="DM68" s="254">
        <f ca="1">IF(EqInv_Pct=0,0,IF($C68+DL67&gt;=0,0,IF($C68+DM67&gt;=0,-XNPV(EqInv_ReqIRR,$C68:DL68,$C$58:DL$58)*FV(EqInv_ReqIRR,(DM$58-$C$58)/365,0,-1),DM66)))</f>
        <v>0</v>
      </c>
      <c r="DN68" s="254">
        <f ca="1">IF(EqInv_Pct=0,0,IF($C68+DM67&gt;=0,0,IF($C68+DN67&gt;=0,-XNPV(EqInv_ReqIRR,$C68:DM68,$C$58:DM$58)*FV(EqInv_ReqIRR,(DN$58-$C$58)/365,0,-1),DN66)))</f>
        <v>0</v>
      </c>
      <c r="DO68" s="254">
        <f ca="1">IF(EqInv_Pct=0,0,IF($C68+DN67&gt;=0,0,IF($C68+DO67&gt;=0,-XNPV(EqInv_ReqIRR,$C68:DN68,$C$58:DN$58)*FV(EqInv_ReqIRR,(DO$58-$C$58)/365,0,-1),DO66)))</f>
        <v>0</v>
      </c>
      <c r="DP68" s="254">
        <f ca="1">IF(EqInv_Pct=0,0,IF($C68+DO67&gt;=0,0,IF($C68+DP67&gt;=0,-XNPV(EqInv_ReqIRR,$C68:DO68,$C$58:DO$58)*FV(EqInv_ReqIRR,(DP$58-$C$58)/365,0,-1),DP66)))</f>
        <v>0</v>
      </c>
      <c r="DQ68" s="254">
        <f ca="1">IF(EqInv_Pct=0,0,IF($C68+DP67&gt;=0,0,IF($C68+DQ67&gt;=0,-XNPV(EqInv_ReqIRR,$C68:DP68,$C$58:DP$58)*FV(EqInv_ReqIRR,(DQ$58-$C$58)/365,0,-1),DQ66)))</f>
        <v>0</v>
      </c>
      <c r="DR68" s="254">
        <f ca="1">IF(EqInv_Pct=0,0,IF($C68+DQ67&gt;=0,0,IF($C68+DR67&gt;=0,-XNPV(EqInv_ReqIRR,$C68:DQ68,$C$58:DQ$58)*FV(EqInv_ReqIRR,(DR$58-$C$58)/365,0,-1),DR66)))</f>
        <v>0</v>
      </c>
      <c r="DS68" s="254">
        <f ca="1">IF(EqInv_Pct=0,0,IF($C68+DR67&gt;=0,0,IF($C68+DS67&gt;=0,-XNPV(EqInv_ReqIRR,$C68:DR68,$C$58:DR$58)*FV(EqInv_ReqIRR,(DS$58-$C$58)/365,0,-1),DS66)))</f>
        <v>0</v>
      </c>
      <c r="DT68" s="254">
        <f ca="1">IF(EqInv_Pct=0,0,IF($C68+DS67&gt;=0,0,IF($C68+DT67&gt;=0,-XNPV(EqInv_ReqIRR,$C68:DS68,$C$58:DS$58)*FV(EqInv_ReqIRR,(DT$58-$C$58)/365,0,-1),DT66)))</f>
        <v>0</v>
      </c>
      <c r="DU68" s="254">
        <f ca="1">IF(EqInv_Pct=0,0,IF($C68+DT67&gt;=0,0,IF($C68+DU67&gt;=0,-XNPV(EqInv_ReqIRR,$C68:DT68,$C$58:DT$58)*FV(EqInv_ReqIRR,(DU$58-$C$58)/365,0,-1),DU66)))</f>
        <v>0</v>
      </c>
      <c r="DV68" s="254">
        <f ca="1">IF(EqInv_Pct=0,0,IF($C68+DU67&gt;=0,0,IF($C68+DV67&gt;=0,-XNPV(EqInv_ReqIRR,$C68:DU68,$C$58:DU$58)*FV(EqInv_ReqIRR,(DV$58-$C$58)/365,0,-1),DV66)))</f>
        <v>0</v>
      </c>
      <c r="DW68" s="254">
        <f ca="1">IF(EqInv_Pct=0,0,IF($C68+DV67&gt;=0,0,IF($C68+DW67&gt;=0,-XNPV(EqInv_ReqIRR,$C68:DV68,$C$58:DV$58)*FV(EqInv_ReqIRR,(DW$58-$C$58)/365,0,-1),DW66)))</f>
        <v>0</v>
      </c>
      <c r="DX68" s="254">
        <f ca="1">IF(EqInv_Pct=0,0,IF($C68+DW67&gt;=0,0,IF($C68+DX67&gt;=0,-XNPV(EqInv_ReqIRR,$C68:DW68,$C$58:DW$58)*FV(EqInv_ReqIRR,(DX$58-$C$58)/365,0,-1),DX66)))</f>
        <v>0</v>
      </c>
      <c r="DY68" s="254">
        <f ca="1">IF(EqInv_Pct=0,0,IF($C68+DX67&gt;=0,0,IF($C68+DY67&gt;=0,-XNPV(EqInv_ReqIRR,$C68:DX68,$C$58:DX$58)*FV(EqInv_ReqIRR,(DY$58-$C$58)/365,0,-1),DY66)))</f>
        <v>0</v>
      </c>
      <c r="DZ68" s="254">
        <f ca="1">IF(EqInv_Pct=0,0,IF($C68+DY67&gt;=0,0,IF($C68+DZ67&gt;=0,-XNPV(EqInv_ReqIRR,$C68:DY68,$C$58:DY$58)*FV(EqInv_ReqIRR,(DZ$58-$C$58)/365,0,-1),DZ66)))</f>
        <v>0</v>
      </c>
      <c r="EA68" s="254">
        <f ca="1">IF(EqInv_Pct=0,0,IF($C68+DZ67&gt;=0,0,IF($C68+EA67&gt;=0,-XNPV(EqInv_ReqIRR,$C68:DZ68,$C$58:DZ$58)*FV(EqInv_ReqIRR,(EA$58-$C$58)/365,0,-1),EA66)))</f>
        <v>0</v>
      </c>
      <c r="EB68" s="254">
        <f ca="1">IF(EqInv_Pct=0,0,IF($C68+EA67&gt;=0,0,IF($C68+EB67&gt;=0,-XNPV(EqInv_ReqIRR,$C68:EA68,$C$58:EA$58)*FV(EqInv_ReqIRR,(EB$58-$C$58)/365,0,-1),EB66)))</f>
        <v>0</v>
      </c>
      <c r="EC68" s="254">
        <f ca="1">IF(EqInv_Pct=0,0,IF($C68+EB67&gt;=0,0,IF($C68+EC67&gt;=0,-XNPV(EqInv_ReqIRR,$C68:EB68,$C$58:EB$58)*FV(EqInv_ReqIRR,(EC$58-$C$58)/365,0,-1),EC66)))</f>
        <v>0</v>
      </c>
      <c r="ED68" s="254">
        <f ca="1">IF(EqInv_Pct=0,0,IF($C68+EC67&gt;=0,0,IF($C68+ED67&gt;=0,-XNPV(EqInv_ReqIRR,$C68:EC68,$C$58:EC$58)*FV(EqInv_ReqIRR,(ED$58-$C$58)/365,0,-1),ED66)))</f>
        <v>0</v>
      </c>
      <c r="EE68" s="254">
        <f ca="1">IF(EqInv_Pct=0,0,IF($C68+ED67&gt;=0,0,IF($C68+EE67&gt;=0,-XNPV(EqInv_ReqIRR,$C68:ED68,$C$58:ED$58)*FV(EqInv_ReqIRR,(EE$58-$C$58)/365,0,-1),EE66)))</f>
        <v>0</v>
      </c>
      <c r="EF68" s="254">
        <f ca="1">IF(EqInv_Pct=0,0,IF($C68+EE67&gt;=0,0,IF($C68+EF67&gt;=0,-XNPV(EqInv_ReqIRR,$C68:EE68,$C$58:EE$58)*FV(EqInv_ReqIRR,(EF$58-$C$58)/365,0,-1),EF66)))</f>
        <v>0</v>
      </c>
      <c r="EG68" s="254">
        <f ca="1">IF(EqInv_Pct=0,0,IF($C68+EF67&gt;=0,0,IF($C68+EG67&gt;=0,-XNPV(EqInv_ReqIRR,$C68:EF68,$C$58:EF$58)*FV(EqInv_ReqIRR,(EG$58-$C$58)/365,0,-1),EG66)))</f>
        <v>0</v>
      </c>
      <c r="EH68" s="254">
        <f ca="1">IF(EqInv_Pct=0,0,IF($C68+EG67&gt;=0,0,IF($C68+EH67&gt;=0,-XNPV(EqInv_ReqIRR,$C68:EG68,$C$58:EG$58)*FV(EqInv_ReqIRR,(EH$58-$C$58)/365,0,-1),EH66)))</f>
        <v>0</v>
      </c>
      <c r="EI68" s="254">
        <f ca="1">IF(EqInv_Pct=0,0,IF($C68+EH67&gt;=0,0,IF($C68+EI67&gt;=0,-XNPV(EqInv_ReqIRR,$C68:EH68,$C$58:EH$58)*FV(EqInv_ReqIRR,(EI$58-$C$58)/365,0,-1),EI66)))</f>
        <v>0</v>
      </c>
      <c r="EJ68" s="254">
        <f ca="1">IF(EqInv_Pct=0,0,IF($C68+EI67&gt;=0,0,IF($C68+EJ67&gt;=0,-XNPV(EqInv_ReqIRR,$C68:EI68,$C$58:EI$58)*FV(EqInv_ReqIRR,(EJ$58-$C$58)/365,0,-1),EJ66)))</f>
        <v>0</v>
      </c>
      <c r="EK68" s="254">
        <f ca="1">IF(EqInv_Pct=0,0,IF($C68+EJ67&gt;=0,0,IF($C68+EK67&gt;=0,-XNPV(EqInv_ReqIRR,$C68:EJ68,$C$58:EJ$58)*FV(EqInv_ReqIRR,(EK$58-$C$58)/365,0,-1),EK66)))</f>
        <v>0</v>
      </c>
      <c r="EL68" s="254">
        <f ca="1">IF(EqInv_Pct=0,0,IF($C68+EK67&gt;=0,0,IF($C68+EL67&gt;=0,-XNPV(EqInv_ReqIRR,$C68:EK68,$C$58:EK$58)*FV(EqInv_ReqIRR,(EL$58-$C$58)/365,0,-1),EL66)))</f>
        <v>0</v>
      </c>
      <c r="EM68" s="254">
        <f ca="1">IF(EqInv_Pct=0,0,IF($C68+EL67&gt;=0,0,IF($C68+EM67&gt;=0,-XNPV(EqInv_ReqIRR,$C68:EL68,$C$58:EL$58)*FV(EqInv_ReqIRR,(EM$58-$C$58)/365,0,-1),EM66)))</f>
        <v>0</v>
      </c>
      <c r="EN68" s="254">
        <f ca="1">IF(EqInv_Pct=0,0,IF($C68+EM67&gt;=0,0,IF($C68+EN67&gt;=0,-XNPV(EqInv_ReqIRR,$C68:EM68,$C$58:EM$58)*FV(EqInv_ReqIRR,(EN$58-$C$58)/365,0,-1),EN66)))</f>
        <v>0</v>
      </c>
      <c r="EO68" s="254">
        <f ca="1">IF(EqInv_Pct=0,0,IF($C68+EN67&gt;=0,0,IF($C68+EO67&gt;=0,-XNPV(EqInv_ReqIRR,$C68:EN68,$C$58:EN$58)*FV(EqInv_ReqIRR,(EO$58-$C$58)/365,0,-1),EO66)))</f>
        <v>0</v>
      </c>
      <c r="EP68" s="254">
        <f ca="1">IF(EqInv_Pct=0,0,IF($C68+EO67&gt;=0,0,IF($C68+EP67&gt;=0,-XNPV(EqInv_ReqIRR,$C68:EO68,$C$58:EO$58)*FV(EqInv_ReqIRR,(EP$58-$C$58)/365,0,-1),EP66)))</f>
        <v>0</v>
      </c>
      <c r="EQ68" s="254">
        <f ca="1">IF(EqInv_Pct=0,0,IF($C68+EP67&gt;=0,0,IF($C68+EQ67&gt;=0,-XNPV(EqInv_ReqIRR,$C68:EP68,$C$58:EP$58)*FV(EqInv_ReqIRR,(EQ$58-$C$58)/365,0,-1),EQ66)))</f>
        <v>0</v>
      </c>
      <c r="ER68" s="254">
        <f ca="1">IF(EqInv_Pct=0,0,IF($C68+EQ67&gt;=0,0,IF($C68+ER67&gt;=0,-XNPV(EqInv_ReqIRR,$C68:EQ68,$C$58:EQ$58)*FV(EqInv_ReqIRR,(ER$58-$C$58)/365,0,-1),ER66)))</f>
        <v>0</v>
      </c>
      <c r="ES68" s="254">
        <f ca="1">IF(EqInv_Pct=0,0,IF($C68+ER67&gt;=0,0,IF($C68+ES67&gt;=0,-XNPV(EqInv_ReqIRR,$C68:ER68,$C$58:ER$58)*FV(EqInv_ReqIRR,(ES$58-$C$58)/365,0,-1),ES66)))</f>
        <v>0</v>
      </c>
      <c r="ET68" s="254">
        <f ca="1">IF(EqInv_Pct=0,0,IF($C68+ES67&gt;=0,0,IF($C68+ET67&gt;=0,-XNPV(EqInv_ReqIRR,$C68:ES68,$C$58:ES$58)*FV(EqInv_ReqIRR,(ET$58-$C$58)/365,0,-1),ET66)))</f>
        <v>0</v>
      </c>
      <c r="EU68" s="254">
        <f ca="1">IF(EqInv_Pct=0,0,IF($C68+ET67&gt;=0,0,IF($C68+EU67&gt;=0,-XNPV(EqInv_ReqIRR,$C68:ET68,$C$58:ET$58)*FV(EqInv_ReqIRR,(EU$58-$C$58)/365,0,-1),EU66)))</f>
        <v>0</v>
      </c>
      <c r="EV68" s="254">
        <f ca="1">IF(EqInv_Pct=0,0,IF($C68+EU67&gt;=0,0,IF($C68+EV67&gt;=0,-XNPV(EqInv_ReqIRR,$C68:EU68,$C$58:EU$58)*FV(EqInv_ReqIRR,(EV$58-$C$58)/365,0,-1),EV66)))</f>
        <v>0</v>
      </c>
      <c r="EW68" s="254">
        <f ca="1">IF(EqInv_Pct=0,0,IF($C68+EV67&gt;=0,0,IF($C68+EW67&gt;=0,-XNPV(EqInv_ReqIRR,$C68:EV68,$C$58:EV$58)*FV(EqInv_ReqIRR,(EW$58-$C$58)/365,0,-1),EW66)))</f>
        <v>0</v>
      </c>
      <c r="EX68" s="254">
        <f ca="1">IF(EqInv_Pct=0,0,IF($C68+EW67&gt;=0,0,IF($C68+EX67&gt;=0,-XNPV(EqInv_ReqIRR,$C68:EW68,$C$58:EW$58)*FV(EqInv_ReqIRR,(EX$58-$C$58)/365,0,-1),EX66)))</f>
        <v>0</v>
      </c>
      <c r="EY68" s="254">
        <f ca="1">IF(EqInv_Pct=0,0,IF($C68+EX67&gt;=0,0,IF($C68+EY67&gt;=0,-XNPV(EqInv_ReqIRR,$C68:EX68,$C$58:EX$58)*FV(EqInv_ReqIRR,(EY$58-$C$58)/365,0,-1),EY66)))</f>
        <v>0</v>
      </c>
      <c r="EZ68" s="254">
        <f ca="1">IF(EqInv_Pct=0,0,IF($C68+EY67&gt;=0,0,IF($C68+EZ67&gt;=0,-XNPV(EqInv_ReqIRR,$C68:EY68,$C$58:EY$58)*FV(EqInv_ReqIRR,(EZ$58-$C$58)/365,0,-1),EZ66)))</f>
        <v>0</v>
      </c>
      <c r="FA68" s="254">
        <f ca="1">IF(EqInv_Pct=0,0,IF($C68+EZ67&gt;=0,0,IF($C68+FA67&gt;=0,-XNPV(EqInv_ReqIRR,$C68:EZ68,$C$58:EZ$58)*FV(EqInv_ReqIRR,(FA$58-$C$58)/365,0,-1),FA66)))</f>
        <v>0</v>
      </c>
      <c r="FB68" s="254">
        <f ca="1">IF(EqInv_Pct=0,0,IF($C68+FA67&gt;=0,0,IF($C68+FB67&gt;=0,-XNPV(EqInv_ReqIRR,$C68:FA68,$C$58:FA$58)*FV(EqInv_ReqIRR,(FB$58-$C$58)/365,0,-1),FB66)))</f>
        <v>0</v>
      </c>
      <c r="FC68" s="254">
        <f ca="1">IF(EqInv_Pct=0,0,IF($C68+FB67&gt;=0,0,IF($C68+FC67&gt;=0,-XNPV(EqInv_ReqIRR,$C68:FB68,$C$58:FB$58)*FV(EqInv_ReqIRR,(FC$58-$C$58)/365,0,-1),FC66)))</f>
        <v>0</v>
      </c>
      <c r="FD68" s="254">
        <f ca="1">IF(EqInv_Pct=0,0,IF($C68+FC67&gt;=0,0,IF($C68+FD67&gt;=0,-XNPV(EqInv_ReqIRR,$C68:FC68,$C$58:FC$58)*FV(EqInv_ReqIRR,(FD$58-$C$58)/365,0,-1),FD66)))</f>
        <v>0</v>
      </c>
      <c r="FE68" s="254">
        <f ca="1">IF(EqInv_Pct=0,0,IF($C68+FD67&gt;=0,0,IF($C68+FE67&gt;=0,-XNPV(EqInv_ReqIRR,$C68:FD68,$C$58:FD$58)*FV(EqInv_ReqIRR,(FE$58-$C$58)/365,0,-1),FE66)))</f>
        <v>0</v>
      </c>
      <c r="FF68" s="254">
        <f ca="1">IF(EqInv_Pct=0,0,IF($C68+FE67&gt;=0,0,IF($C68+FF67&gt;=0,-XNPV(EqInv_ReqIRR,$C68:FE68,$C$58:FE$58)*FV(EqInv_ReqIRR,(FF$58-$C$58)/365,0,-1),FF66)))</f>
        <v>0</v>
      </c>
      <c r="FG68" s="254">
        <f ca="1">IF(EqInv_Pct=0,0,IF($C68+FF67&gt;=0,0,IF($C68+FG67&gt;=0,-XNPV(EqInv_ReqIRR,$C68:FF68,$C$58:FF$58)*FV(EqInv_ReqIRR,(FG$58-$C$58)/365,0,-1),FG66)))</f>
        <v>0</v>
      </c>
      <c r="FH68" s="254">
        <f ca="1">IF(EqInv_Pct=0,0,IF($C68+FG67&gt;=0,0,IF($C68+FH67&gt;=0,-XNPV(EqInv_ReqIRR,$C68:FG68,$C$58:FG$58)*FV(EqInv_ReqIRR,(FH$58-$C$58)/365,0,-1),FH66)))</f>
        <v>0</v>
      </c>
      <c r="FI68" s="254">
        <f ca="1">IF(EqInv_Pct=0,0,IF($C68+FH67&gt;=0,0,IF($C68+FI67&gt;=0,-XNPV(EqInv_ReqIRR,$C68:FH68,$C$58:FH$58)*FV(EqInv_ReqIRR,(FI$58-$C$58)/365,0,-1),FI66)))</f>
        <v>0</v>
      </c>
      <c r="FJ68" s="254">
        <f ca="1">IF(EqInv_Pct=0,0,IF($C68+FI67&gt;=0,0,IF($C68+FJ67&gt;=0,-XNPV(EqInv_ReqIRR,$C68:FI68,$C$58:FI$58)*FV(EqInv_ReqIRR,(FJ$58-$C$58)/365,0,-1),FJ66)))</f>
        <v>0</v>
      </c>
      <c r="FK68" s="254">
        <f ca="1">IF(EqInv_Pct=0,0,IF($C68+FJ67&gt;=0,0,IF($C68+FK67&gt;=0,-XNPV(EqInv_ReqIRR,$C68:FJ68,$C$58:FJ$58)*FV(EqInv_ReqIRR,(FK$58-$C$58)/365,0,-1),FK66)))</f>
        <v>0</v>
      </c>
      <c r="FL68" s="254">
        <f ca="1">IF(EqInv_Pct=0,0,IF($C68+FK67&gt;=0,0,IF($C68+FL67&gt;=0,-XNPV(EqInv_ReqIRR,$C68:FK68,$C$58:FK$58)*FV(EqInv_ReqIRR,(FL$58-$C$58)/365,0,-1),FL66)))</f>
        <v>0</v>
      </c>
      <c r="FM68" s="254">
        <f ca="1">IF(EqInv_Pct=0,0,IF($C68+FL67&gt;=0,0,IF($C68+FM67&gt;=0,-XNPV(EqInv_ReqIRR,$C68:FL68,$C$58:FL$58)*FV(EqInv_ReqIRR,(FM$58-$C$58)/365,0,-1),FM66)))</f>
        <v>0</v>
      </c>
      <c r="FN68" s="254">
        <f ca="1">IF(EqInv_Pct=0,0,IF($C68+FM67&gt;=0,0,IF($C68+FN67&gt;=0,-XNPV(EqInv_ReqIRR,$C68:FM68,$C$58:FM$58)*FV(EqInv_ReqIRR,(FN$58-$C$58)/365,0,-1),FN66)))</f>
        <v>0</v>
      </c>
      <c r="FO68" s="254">
        <f ca="1">IF(EqInv_Pct=0,0,IF($C68+FN67&gt;=0,0,IF($C68+FO67&gt;=0,-XNPV(EqInv_ReqIRR,$C68:FN68,$C$58:FN$58)*FV(EqInv_ReqIRR,(FO$58-$C$58)/365,0,-1),FO66)))</f>
        <v>0</v>
      </c>
      <c r="FP68" s="254">
        <f ca="1">IF(EqInv_Pct=0,0,IF($C68+FO67&gt;=0,0,IF($C68+FP67&gt;=0,-XNPV(EqInv_ReqIRR,$C68:FO68,$C$58:FO$58)*FV(EqInv_ReqIRR,(FP$58-$C$58)/365,0,-1),FP66)))</f>
        <v>0</v>
      </c>
      <c r="FQ68" s="254">
        <f ca="1">IF(EqInv_Pct=0,0,IF($C68+FP67&gt;=0,0,IF($C68+FQ67&gt;=0,-XNPV(EqInv_ReqIRR,$C68:FP68,$C$58:FP$58)*FV(EqInv_ReqIRR,(FQ$58-$C$58)/365,0,-1),FQ66)))</f>
        <v>0</v>
      </c>
      <c r="FR68" s="254">
        <f ca="1">IF(EqInv_Pct=0,0,IF($C68+FQ67&gt;=0,0,IF($C68+FR67&gt;=0,-XNPV(EqInv_ReqIRR,$C68:FQ68,$C$58:FQ$58)*FV(EqInv_ReqIRR,(FR$58-$C$58)/365,0,-1),FR66)))</f>
        <v>0</v>
      </c>
      <c r="FS68" s="254">
        <f ca="1">IF(EqInv_Pct=0,0,IF($C68+FR67&gt;=0,0,IF($C68+FS67&gt;=0,-XNPV(EqInv_ReqIRR,$C68:FR68,$C$58:FR$58)*FV(EqInv_ReqIRR,(FS$58-$C$58)/365,0,-1),FS66)))</f>
        <v>0</v>
      </c>
      <c r="FT68" s="254">
        <f ca="1">IF(EqInv_Pct=0,0,IF($C68+FS67&gt;=0,0,IF($C68+FT67&gt;=0,-XNPV(EqInv_ReqIRR,$C68:FS68,$C$58:FS$58)*FV(EqInv_ReqIRR,(FT$58-$C$58)/365,0,-1),FT66)))</f>
        <v>0</v>
      </c>
      <c r="FU68" s="254">
        <f ca="1">IF(EqInv_Pct=0,0,IF($C68+FT67&gt;=0,0,IF($C68+FU67&gt;=0,-XNPV(EqInv_ReqIRR,$C68:FT68,$C$58:FT$58)*FV(EqInv_ReqIRR,(FU$58-$C$58)/365,0,-1),FU66)))</f>
        <v>0</v>
      </c>
      <c r="FV68" s="254">
        <f ca="1">IF(EqInv_Pct=0,0,IF($C68+FU67&gt;=0,0,IF($C68+FV67&gt;=0,-XNPV(EqInv_ReqIRR,$C68:FU68,$C$58:FU$58)*FV(EqInv_ReqIRR,(FV$58-$C$58)/365,0,-1),FV66)))</f>
        <v>0</v>
      </c>
      <c r="FW68" s="254">
        <f ca="1">IF(EqInv_Pct=0,0,IF($C68+FV67&gt;=0,0,IF($C68+FW67&gt;=0,-XNPV(EqInv_ReqIRR,$C68:FV68,$C$58:FV$58)*FV(EqInv_ReqIRR,(FW$58-$C$58)/365,0,-1),FW66)))</f>
        <v>0</v>
      </c>
      <c r="FX68" s="254">
        <f ca="1">IF(EqInv_Pct=0,0,IF($C68+FW67&gt;=0,0,IF($C68+FX67&gt;=0,-XNPV(EqInv_ReqIRR,$C68:FW68,$C$58:FW$58)*FV(EqInv_ReqIRR,(FX$58-$C$58)/365,0,-1),FX66)))</f>
        <v>0</v>
      </c>
      <c r="FY68" s="254">
        <f ca="1">IF(EqInv_Pct=0,0,IF($C68+FX67&gt;=0,0,IF($C68+FY67&gt;=0,-XNPV(EqInv_ReqIRR,$C68:FX68,$C$58:FX$58)*FV(EqInv_ReqIRR,(FY$58-$C$58)/365,0,-1),FY66)))</f>
        <v>0</v>
      </c>
      <c r="FZ68" s="254">
        <f ca="1">IF(EqInv_Pct=0,0,IF($C68+FY67&gt;=0,0,IF($C68+FZ67&gt;=0,-XNPV(EqInv_ReqIRR,$C68:FY68,$C$58:FY$58)*FV(EqInv_ReqIRR,(FZ$58-$C$58)/365,0,-1),FZ66)))</f>
        <v>0</v>
      </c>
      <c r="GA68" s="268">
        <f ca="1">IF(EqInv_Pct=0,0,IF($C68+FZ67&gt;=0,0,IF($C68+GA67&gt;=0,-XNPV(EqInv_ReqIRR,$C68:FZ68,$C$58:FZ$58)*FV(EqInv_ReqIRR,(GA$58-$C$58)/365,0,-1),GA66)))</f>
        <v>0</v>
      </c>
    </row>
    <row r="69" spans="1:183" x14ac:dyDescent="0.15">
      <c r="A69" s="279"/>
      <c r="C69" s="269"/>
      <c r="D69" s="254"/>
      <c r="E69" s="254"/>
      <c r="F69" s="254"/>
      <c r="G69" s="254"/>
      <c r="H69" s="254"/>
      <c r="I69" s="254"/>
      <c r="J69" s="254"/>
      <c r="K69" s="254"/>
      <c r="L69" s="254"/>
      <c r="M69" s="254"/>
      <c r="N69" s="254"/>
      <c r="O69" s="254"/>
      <c r="P69" s="254"/>
      <c r="Q69" s="254"/>
      <c r="R69" s="254"/>
      <c r="S69" s="254"/>
      <c r="T69" s="254"/>
      <c r="U69" s="254"/>
      <c r="V69" s="254"/>
      <c r="W69" s="254"/>
      <c r="X69" s="254"/>
      <c r="Y69" s="254"/>
      <c r="Z69" s="254"/>
      <c r="AA69" s="254"/>
      <c r="AB69" s="254"/>
      <c r="AC69" s="254"/>
      <c r="AD69" s="254"/>
      <c r="AE69" s="254"/>
      <c r="AF69" s="254"/>
      <c r="AG69" s="254"/>
      <c r="AH69" s="254"/>
      <c r="AI69" s="254"/>
      <c r="AJ69" s="254"/>
      <c r="AK69" s="254"/>
      <c r="AL69" s="254"/>
      <c r="AM69" s="254"/>
      <c r="AN69" s="254"/>
      <c r="AO69" s="254"/>
      <c r="AP69" s="254"/>
      <c r="AQ69" s="254"/>
      <c r="AR69" s="254"/>
      <c r="AS69" s="254"/>
      <c r="AT69" s="254"/>
      <c r="AU69" s="254"/>
      <c r="AV69" s="254"/>
      <c r="AW69" s="254"/>
      <c r="AX69" s="254"/>
      <c r="AY69" s="254"/>
      <c r="AZ69" s="254"/>
      <c r="BA69" s="254"/>
      <c r="BB69" s="254"/>
      <c r="BC69" s="254"/>
      <c r="BD69" s="254"/>
      <c r="BE69" s="254"/>
      <c r="BF69" s="254"/>
      <c r="BG69" s="254"/>
      <c r="BH69" s="254"/>
      <c r="BI69" s="254"/>
      <c r="BJ69" s="254"/>
      <c r="BK69" s="254"/>
      <c r="BL69" s="254"/>
      <c r="BM69" s="254"/>
      <c r="BN69" s="254"/>
      <c r="BO69" s="254"/>
      <c r="BP69" s="254"/>
      <c r="BQ69" s="254"/>
      <c r="BR69" s="254"/>
      <c r="BS69" s="254"/>
      <c r="BT69" s="254"/>
      <c r="BU69" s="254"/>
      <c r="BV69" s="254"/>
      <c r="BW69" s="254"/>
      <c r="BX69" s="254"/>
      <c r="BY69" s="254"/>
      <c r="BZ69" s="254"/>
      <c r="CA69" s="254"/>
      <c r="CB69" s="254"/>
      <c r="CC69" s="254"/>
      <c r="CD69" s="254"/>
      <c r="CE69" s="254"/>
      <c r="CF69" s="254"/>
      <c r="CG69" s="254"/>
      <c r="CH69" s="254"/>
      <c r="CI69" s="254"/>
      <c r="CJ69" s="254"/>
      <c r="CK69" s="254"/>
      <c r="CL69" s="254"/>
      <c r="CM69" s="254"/>
      <c r="CN69" s="254"/>
      <c r="CO69" s="254"/>
      <c r="CP69" s="254"/>
      <c r="CQ69" s="254"/>
      <c r="CR69" s="254"/>
      <c r="CS69" s="254"/>
      <c r="CT69" s="254"/>
      <c r="CU69" s="254"/>
      <c r="CV69" s="254"/>
      <c r="CW69" s="254"/>
      <c r="CX69" s="254"/>
      <c r="CY69" s="254"/>
      <c r="CZ69" s="254"/>
      <c r="DA69" s="254"/>
      <c r="DB69" s="254"/>
      <c r="DC69" s="254"/>
      <c r="DD69" s="254"/>
      <c r="DE69" s="254"/>
      <c r="DF69" s="254"/>
      <c r="DG69" s="254"/>
      <c r="DH69" s="254"/>
      <c r="DI69" s="254"/>
      <c r="DJ69" s="254"/>
      <c r="DK69" s="254"/>
      <c r="DL69" s="254"/>
      <c r="DM69" s="254"/>
      <c r="DN69" s="254"/>
      <c r="DO69" s="254"/>
      <c r="DP69" s="254"/>
      <c r="DQ69" s="254"/>
      <c r="DR69" s="254"/>
      <c r="DS69" s="254"/>
      <c r="DT69" s="254"/>
      <c r="DU69" s="254"/>
      <c r="DV69" s="254"/>
      <c r="DW69" s="254"/>
      <c r="DX69" s="254"/>
      <c r="DY69" s="254"/>
      <c r="DZ69" s="254"/>
      <c r="EA69" s="254"/>
      <c r="EB69" s="254"/>
      <c r="EC69" s="254"/>
      <c r="ED69" s="254"/>
      <c r="EE69" s="254"/>
      <c r="EF69" s="254"/>
      <c r="EG69" s="254"/>
      <c r="EH69" s="254"/>
      <c r="EI69" s="254"/>
      <c r="EJ69" s="254"/>
      <c r="EK69" s="254"/>
      <c r="EL69" s="254"/>
      <c r="EM69" s="254"/>
      <c r="EN69" s="254"/>
      <c r="EO69" s="254"/>
      <c r="EP69" s="254"/>
      <c r="EQ69" s="254"/>
      <c r="ER69" s="254"/>
      <c r="ES69" s="254"/>
      <c r="ET69" s="254"/>
      <c r="EU69" s="254"/>
      <c r="EV69" s="254"/>
      <c r="EW69" s="254"/>
      <c r="EX69" s="254"/>
      <c r="EY69" s="254"/>
      <c r="EZ69" s="254"/>
      <c r="FA69" s="254"/>
      <c r="FB69" s="254"/>
      <c r="FC69" s="254"/>
      <c r="FD69" s="254"/>
      <c r="FE69" s="254"/>
      <c r="FF69" s="254"/>
      <c r="FG69" s="254"/>
      <c r="FH69" s="254"/>
      <c r="FI69" s="254"/>
      <c r="FJ69" s="254"/>
      <c r="FK69" s="254"/>
      <c r="FL69" s="254"/>
      <c r="FM69" s="254"/>
      <c r="FN69" s="254"/>
      <c r="FO69" s="254"/>
      <c r="FP69" s="254"/>
      <c r="FQ69" s="254"/>
      <c r="FR69" s="254"/>
      <c r="FS69" s="254"/>
      <c r="FT69" s="254"/>
      <c r="FU69" s="254"/>
      <c r="FV69" s="254"/>
      <c r="FW69" s="254"/>
      <c r="FX69" s="254"/>
      <c r="FY69" s="254"/>
      <c r="FZ69" s="254"/>
      <c r="GA69" s="268"/>
    </row>
    <row r="70" spans="1:183" x14ac:dyDescent="0.15">
      <c r="A70" s="279" t="s">
        <v>829</v>
      </c>
      <c r="C70" s="269">
        <v>0</v>
      </c>
      <c r="D70" s="254">
        <f t="shared" ref="D70:BO70" si="48">D$64*DebtInv_PctCashFlow</f>
        <v>0</v>
      </c>
      <c r="E70" s="254">
        <f t="shared" si="48"/>
        <v>0</v>
      </c>
      <c r="F70" s="254">
        <f t="shared" si="48"/>
        <v>0</v>
      </c>
      <c r="G70" s="254">
        <f t="shared" si="48"/>
        <v>0</v>
      </c>
      <c r="H70" s="254">
        <f t="shared" si="48"/>
        <v>0</v>
      </c>
      <c r="I70" s="254">
        <f t="shared" si="48"/>
        <v>0</v>
      </c>
      <c r="J70" s="254">
        <f t="shared" si="48"/>
        <v>0</v>
      </c>
      <c r="K70" s="254">
        <f t="shared" si="48"/>
        <v>0</v>
      </c>
      <c r="L70" s="254">
        <f t="shared" si="48"/>
        <v>0</v>
      </c>
      <c r="M70" s="254">
        <f t="shared" si="48"/>
        <v>0</v>
      </c>
      <c r="N70" s="254">
        <f t="shared" si="48"/>
        <v>0</v>
      </c>
      <c r="O70" s="254">
        <f t="shared" si="48"/>
        <v>0</v>
      </c>
      <c r="P70" s="254">
        <f t="shared" si="48"/>
        <v>0</v>
      </c>
      <c r="Q70" s="254">
        <f t="shared" si="48"/>
        <v>0</v>
      </c>
      <c r="R70" s="254">
        <f t="shared" si="48"/>
        <v>0</v>
      </c>
      <c r="S70" s="254">
        <f t="shared" si="48"/>
        <v>0</v>
      </c>
      <c r="T70" s="254">
        <f t="shared" si="48"/>
        <v>0</v>
      </c>
      <c r="U70" s="254">
        <f t="shared" si="48"/>
        <v>0</v>
      </c>
      <c r="V70" s="254">
        <f t="shared" si="48"/>
        <v>0</v>
      </c>
      <c r="W70" s="254">
        <f t="shared" si="48"/>
        <v>0</v>
      </c>
      <c r="X70" s="254">
        <f t="shared" si="48"/>
        <v>0</v>
      </c>
      <c r="Y70" s="254">
        <f t="shared" si="48"/>
        <v>0</v>
      </c>
      <c r="Z70" s="254">
        <f t="shared" si="48"/>
        <v>0</v>
      </c>
      <c r="AA70" s="254">
        <f t="shared" si="48"/>
        <v>0</v>
      </c>
      <c r="AB70" s="254">
        <f t="shared" si="48"/>
        <v>0</v>
      </c>
      <c r="AC70" s="254">
        <f t="shared" si="48"/>
        <v>0</v>
      </c>
      <c r="AD70" s="254">
        <f t="shared" si="48"/>
        <v>0</v>
      </c>
      <c r="AE70" s="254">
        <f t="shared" si="48"/>
        <v>0</v>
      </c>
      <c r="AF70" s="254">
        <f t="shared" si="48"/>
        <v>0</v>
      </c>
      <c r="AG70" s="254">
        <f t="shared" si="48"/>
        <v>0</v>
      </c>
      <c r="AH70" s="254">
        <f t="shared" si="48"/>
        <v>0</v>
      </c>
      <c r="AI70" s="254">
        <f t="shared" si="48"/>
        <v>0</v>
      </c>
      <c r="AJ70" s="254">
        <f t="shared" si="48"/>
        <v>0</v>
      </c>
      <c r="AK70" s="254">
        <f t="shared" si="48"/>
        <v>0</v>
      </c>
      <c r="AL70" s="254">
        <f t="shared" si="48"/>
        <v>0</v>
      </c>
      <c r="AM70" s="254">
        <f t="shared" si="48"/>
        <v>0</v>
      </c>
      <c r="AN70" s="254">
        <f t="shared" si="48"/>
        <v>0</v>
      </c>
      <c r="AO70" s="254">
        <f t="shared" si="48"/>
        <v>0</v>
      </c>
      <c r="AP70" s="254">
        <f t="shared" si="48"/>
        <v>0</v>
      </c>
      <c r="AQ70" s="254">
        <f t="shared" si="48"/>
        <v>0</v>
      </c>
      <c r="AR70" s="254">
        <f t="shared" si="48"/>
        <v>0</v>
      </c>
      <c r="AS70" s="254">
        <f t="shared" si="48"/>
        <v>0</v>
      </c>
      <c r="AT70" s="254">
        <f t="shared" si="48"/>
        <v>0</v>
      </c>
      <c r="AU70" s="254">
        <f t="shared" si="48"/>
        <v>0</v>
      </c>
      <c r="AV70" s="254">
        <f t="shared" si="48"/>
        <v>0</v>
      </c>
      <c r="AW70" s="254">
        <f t="shared" si="48"/>
        <v>0</v>
      </c>
      <c r="AX70" s="254">
        <f t="shared" si="48"/>
        <v>0</v>
      </c>
      <c r="AY70" s="254">
        <f t="shared" si="48"/>
        <v>0</v>
      </c>
      <c r="AZ70" s="254">
        <f t="shared" si="48"/>
        <v>0</v>
      </c>
      <c r="BA70" s="254">
        <f t="shared" si="48"/>
        <v>0</v>
      </c>
      <c r="BB70" s="254">
        <f t="shared" si="48"/>
        <v>0</v>
      </c>
      <c r="BC70" s="254">
        <f t="shared" si="48"/>
        <v>0</v>
      </c>
      <c r="BD70" s="254">
        <f t="shared" si="48"/>
        <v>0</v>
      </c>
      <c r="BE70" s="254">
        <f t="shared" si="48"/>
        <v>0</v>
      </c>
      <c r="BF70" s="254">
        <f t="shared" si="48"/>
        <v>0</v>
      </c>
      <c r="BG70" s="254">
        <f t="shared" si="48"/>
        <v>0</v>
      </c>
      <c r="BH70" s="254">
        <f t="shared" si="48"/>
        <v>0</v>
      </c>
      <c r="BI70" s="254">
        <f t="shared" si="48"/>
        <v>0</v>
      </c>
      <c r="BJ70" s="254">
        <f t="shared" si="48"/>
        <v>0</v>
      </c>
      <c r="BK70" s="254">
        <f t="shared" si="48"/>
        <v>0</v>
      </c>
      <c r="BL70" s="254">
        <f t="shared" si="48"/>
        <v>0</v>
      </c>
      <c r="BM70" s="254">
        <f t="shared" si="48"/>
        <v>0</v>
      </c>
      <c r="BN70" s="254">
        <f t="shared" si="48"/>
        <v>0</v>
      </c>
      <c r="BO70" s="254">
        <f t="shared" si="48"/>
        <v>0</v>
      </c>
      <c r="BP70" s="254">
        <f t="shared" ref="BP70:EA70" si="49">BP$64*DebtInv_PctCashFlow</f>
        <v>0</v>
      </c>
      <c r="BQ70" s="254">
        <f t="shared" si="49"/>
        <v>0</v>
      </c>
      <c r="BR70" s="254">
        <f t="shared" si="49"/>
        <v>0</v>
      </c>
      <c r="BS70" s="254">
        <f t="shared" si="49"/>
        <v>0</v>
      </c>
      <c r="BT70" s="254">
        <f t="shared" si="49"/>
        <v>0</v>
      </c>
      <c r="BU70" s="254">
        <f t="shared" si="49"/>
        <v>0</v>
      </c>
      <c r="BV70" s="254">
        <f t="shared" si="49"/>
        <v>0</v>
      </c>
      <c r="BW70" s="254">
        <f t="shared" si="49"/>
        <v>0</v>
      </c>
      <c r="BX70" s="254">
        <f t="shared" si="49"/>
        <v>0</v>
      </c>
      <c r="BY70" s="254">
        <f t="shared" si="49"/>
        <v>0</v>
      </c>
      <c r="BZ70" s="254">
        <f t="shared" si="49"/>
        <v>0</v>
      </c>
      <c r="CA70" s="254">
        <f t="shared" si="49"/>
        <v>0</v>
      </c>
      <c r="CB70" s="254">
        <f t="shared" si="49"/>
        <v>0</v>
      </c>
      <c r="CC70" s="254">
        <f t="shared" si="49"/>
        <v>0</v>
      </c>
      <c r="CD70" s="254">
        <f t="shared" si="49"/>
        <v>0</v>
      </c>
      <c r="CE70" s="254">
        <f t="shared" si="49"/>
        <v>0</v>
      </c>
      <c r="CF70" s="254">
        <f t="shared" si="49"/>
        <v>0</v>
      </c>
      <c r="CG70" s="254">
        <f t="shared" si="49"/>
        <v>0</v>
      </c>
      <c r="CH70" s="254">
        <f t="shared" si="49"/>
        <v>0</v>
      </c>
      <c r="CI70" s="254">
        <f t="shared" si="49"/>
        <v>0</v>
      </c>
      <c r="CJ70" s="254">
        <f t="shared" si="49"/>
        <v>0</v>
      </c>
      <c r="CK70" s="254">
        <f t="shared" si="49"/>
        <v>0</v>
      </c>
      <c r="CL70" s="254">
        <f t="shared" si="49"/>
        <v>0</v>
      </c>
      <c r="CM70" s="254">
        <f t="shared" si="49"/>
        <v>0</v>
      </c>
      <c r="CN70" s="254">
        <f t="shared" si="49"/>
        <v>0</v>
      </c>
      <c r="CO70" s="254">
        <f t="shared" si="49"/>
        <v>0</v>
      </c>
      <c r="CP70" s="254">
        <f t="shared" si="49"/>
        <v>0</v>
      </c>
      <c r="CQ70" s="254">
        <f t="shared" si="49"/>
        <v>0</v>
      </c>
      <c r="CR70" s="254">
        <f t="shared" si="49"/>
        <v>0</v>
      </c>
      <c r="CS70" s="254">
        <f t="shared" si="49"/>
        <v>0</v>
      </c>
      <c r="CT70" s="254">
        <f t="shared" si="49"/>
        <v>0</v>
      </c>
      <c r="CU70" s="254">
        <f t="shared" si="49"/>
        <v>0</v>
      </c>
      <c r="CV70" s="254">
        <f t="shared" si="49"/>
        <v>0</v>
      </c>
      <c r="CW70" s="254">
        <f t="shared" si="49"/>
        <v>0</v>
      </c>
      <c r="CX70" s="254">
        <f t="shared" si="49"/>
        <v>0</v>
      </c>
      <c r="CY70" s="254">
        <f t="shared" si="49"/>
        <v>0</v>
      </c>
      <c r="CZ70" s="254">
        <f t="shared" si="49"/>
        <v>0</v>
      </c>
      <c r="DA70" s="254">
        <f t="shared" si="49"/>
        <v>0</v>
      </c>
      <c r="DB70" s="254">
        <f t="shared" si="49"/>
        <v>0</v>
      </c>
      <c r="DC70" s="254">
        <f t="shared" si="49"/>
        <v>0</v>
      </c>
      <c r="DD70" s="254">
        <f t="shared" si="49"/>
        <v>0</v>
      </c>
      <c r="DE70" s="254">
        <f t="shared" si="49"/>
        <v>0</v>
      </c>
      <c r="DF70" s="254">
        <f t="shared" si="49"/>
        <v>0</v>
      </c>
      <c r="DG70" s="254">
        <f t="shared" si="49"/>
        <v>0</v>
      </c>
      <c r="DH70" s="254">
        <f t="shared" si="49"/>
        <v>0</v>
      </c>
      <c r="DI70" s="254">
        <f t="shared" si="49"/>
        <v>0</v>
      </c>
      <c r="DJ70" s="254">
        <f t="shared" si="49"/>
        <v>0</v>
      </c>
      <c r="DK70" s="254">
        <f t="shared" si="49"/>
        <v>0</v>
      </c>
      <c r="DL70" s="254">
        <f t="shared" si="49"/>
        <v>0</v>
      </c>
      <c r="DM70" s="254">
        <f t="shared" si="49"/>
        <v>0</v>
      </c>
      <c r="DN70" s="254">
        <f t="shared" si="49"/>
        <v>0</v>
      </c>
      <c r="DO70" s="254">
        <f t="shared" si="49"/>
        <v>0</v>
      </c>
      <c r="DP70" s="254">
        <f t="shared" si="49"/>
        <v>0</v>
      </c>
      <c r="DQ70" s="254">
        <f t="shared" si="49"/>
        <v>0</v>
      </c>
      <c r="DR70" s="254">
        <f t="shared" si="49"/>
        <v>0</v>
      </c>
      <c r="DS70" s="254">
        <f t="shared" si="49"/>
        <v>0</v>
      </c>
      <c r="DT70" s="254">
        <f t="shared" si="49"/>
        <v>0</v>
      </c>
      <c r="DU70" s="254">
        <f t="shared" si="49"/>
        <v>0</v>
      </c>
      <c r="DV70" s="254">
        <f t="shared" si="49"/>
        <v>0</v>
      </c>
      <c r="DW70" s="254">
        <f t="shared" si="49"/>
        <v>0</v>
      </c>
      <c r="DX70" s="254">
        <f t="shared" si="49"/>
        <v>0</v>
      </c>
      <c r="DY70" s="254">
        <f t="shared" si="49"/>
        <v>0</v>
      </c>
      <c r="DZ70" s="254">
        <f t="shared" si="49"/>
        <v>0</v>
      </c>
      <c r="EA70" s="254">
        <f t="shared" si="49"/>
        <v>0</v>
      </c>
      <c r="EB70" s="254">
        <f t="shared" ref="EB70:GA70" si="50">EB$64*DebtInv_PctCashFlow</f>
        <v>0</v>
      </c>
      <c r="EC70" s="254">
        <f t="shared" si="50"/>
        <v>0</v>
      </c>
      <c r="ED70" s="254">
        <f t="shared" si="50"/>
        <v>0</v>
      </c>
      <c r="EE70" s="254">
        <f t="shared" si="50"/>
        <v>0</v>
      </c>
      <c r="EF70" s="254">
        <f t="shared" si="50"/>
        <v>0</v>
      </c>
      <c r="EG70" s="254">
        <f t="shared" si="50"/>
        <v>0</v>
      </c>
      <c r="EH70" s="254">
        <f t="shared" si="50"/>
        <v>0</v>
      </c>
      <c r="EI70" s="254">
        <f t="shared" si="50"/>
        <v>0</v>
      </c>
      <c r="EJ70" s="254">
        <f t="shared" si="50"/>
        <v>0</v>
      </c>
      <c r="EK70" s="254">
        <f t="shared" si="50"/>
        <v>0</v>
      </c>
      <c r="EL70" s="254">
        <f t="shared" si="50"/>
        <v>0</v>
      </c>
      <c r="EM70" s="254">
        <f t="shared" si="50"/>
        <v>0</v>
      </c>
      <c r="EN70" s="254">
        <f t="shared" si="50"/>
        <v>0</v>
      </c>
      <c r="EO70" s="254">
        <f t="shared" si="50"/>
        <v>0</v>
      </c>
      <c r="EP70" s="254">
        <f t="shared" si="50"/>
        <v>0</v>
      </c>
      <c r="EQ70" s="254">
        <f t="shared" si="50"/>
        <v>0</v>
      </c>
      <c r="ER70" s="254">
        <f t="shared" si="50"/>
        <v>0</v>
      </c>
      <c r="ES70" s="254">
        <f t="shared" si="50"/>
        <v>0</v>
      </c>
      <c r="ET70" s="254">
        <f t="shared" si="50"/>
        <v>0</v>
      </c>
      <c r="EU70" s="254">
        <f t="shared" si="50"/>
        <v>0</v>
      </c>
      <c r="EV70" s="254">
        <f t="shared" si="50"/>
        <v>0</v>
      </c>
      <c r="EW70" s="254">
        <f t="shared" si="50"/>
        <v>0</v>
      </c>
      <c r="EX70" s="254">
        <f t="shared" si="50"/>
        <v>0</v>
      </c>
      <c r="EY70" s="254">
        <f t="shared" si="50"/>
        <v>0</v>
      </c>
      <c r="EZ70" s="254">
        <f t="shared" si="50"/>
        <v>0</v>
      </c>
      <c r="FA70" s="254">
        <f t="shared" si="50"/>
        <v>0</v>
      </c>
      <c r="FB70" s="254">
        <f t="shared" si="50"/>
        <v>0</v>
      </c>
      <c r="FC70" s="254">
        <f t="shared" si="50"/>
        <v>0</v>
      </c>
      <c r="FD70" s="254">
        <f t="shared" si="50"/>
        <v>0</v>
      </c>
      <c r="FE70" s="254">
        <f t="shared" si="50"/>
        <v>0</v>
      </c>
      <c r="FF70" s="254">
        <f t="shared" si="50"/>
        <v>0</v>
      </c>
      <c r="FG70" s="254">
        <f t="shared" si="50"/>
        <v>0</v>
      </c>
      <c r="FH70" s="254">
        <f t="shared" si="50"/>
        <v>0</v>
      </c>
      <c r="FI70" s="254">
        <f t="shared" si="50"/>
        <v>0</v>
      </c>
      <c r="FJ70" s="254">
        <f t="shared" si="50"/>
        <v>0</v>
      </c>
      <c r="FK70" s="254">
        <f t="shared" si="50"/>
        <v>0</v>
      </c>
      <c r="FL70" s="254">
        <f t="shared" si="50"/>
        <v>0</v>
      </c>
      <c r="FM70" s="254">
        <f t="shared" si="50"/>
        <v>0</v>
      </c>
      <c r="FN70" s="254">
        <f t="shared" si="50"/>
        <v>0</v>
      </c>
      <c r="FO70" s="254">
        <f t="shared" si="50"/>
        <v>0</v>
      </c>
      <c r="FP70" s="254">
        <f t="shared" si="50"/>
        <v>0</v>
      </c>
      <c r="FQ70" s="254">
        <f t="shared" si="50"/>
        <v>0</v>
      </c>
      <c r="FR70" s="254">
        <f t="shared" si="50"/>
        <v>0</v>
      </c>
      <c r="FS70" s="254">
        <f t="shared" si="50"/>
        <v>0</v>
      </c>
      <c r="FT70" s="254">
        <f t="shared" si="50"/>
        <v>0</v>
      </c>
      <c r="FU70" s="254">
        <f t="shared" si="50"/>
        <v>0</v>
      </c>
      <c r="FV70" s="254">
        <f t="shared" si="50"/>
        <v>0</v>
      </c>
      <c r="FW70" s="254">
        <f t="shared" si="50"/>
        <v>0</v>
      </c>
      <c r="FX70" s="254">
        <f t="shared" si="50"/>
        <v>0</v>
      </c>
      <c r="FY70" s="254">
        <f t="shared" si="50"/>
        <v>0</v>
      </c>
      <c r="FZ70" s="254">
        <f t="shared" si="50"/>
        <v>0</v>
      </c>
      <c r="GA70" s="268">
        <f t="shared" si="50"/>
        <v>0</v>
      </c>
    </row>
    <row r="71" spans="1:183" x14ac:dyDescent="0.15">
      <c r="A71" s="279" t="s">
        <v>830</v>
      </c>
      <c r="C71" s="269"/>
      <c r="D71" s="254">
        <f>IF(DebtInv_Pct=0,0,XNPV(DebtInv_ReqIRR,$C70:D70,$C$58:D$58))</f>
        <v>0</v>
      </c>
      <c r="E71" s="254">
        <f>IF(DebtInv_Pct=0,0,XNPV(DebtInv_ReqIRR,$C70:E70,$C$58:E$58))</f>
        <v>0</v>
      </c>
      <c r="F71" s="254">
        <f>IF(DebtInv_Pct=0,0,XNPV(DebtInv_ReqIRR,$C70:F70,$C$58:F$58))</f>
        <v>0</v>
      </c>
      <c r="G71" s="254">
        <f>IF(DebtInv_Pct=0,0,XNPV(DebtInv_ReqIRR,$C70:G70,$C$58:G$58))</f>
        <v>0</v>
      </c>
      <c r="H71" s="254">
        <f>IF(DebtInv_Pct=0,0,XNPV(DebtInv_ReqIRR,$C70:H70,$C$58:H$58))</f>
        <v>0</v>
      </c>
      <c r="I71" s="254">
        <f>IF(DebtInv_Pct=0,0,XNPV(DebtInv_ReqIRR,$C70:I70,$C$58:I$58))</f>
        <v>0</v>
      </c>
      <c r="J71" s="254">
        <f>IF(DebtInv_Pct=0,0,XNPV(DebtInv_ReqIRR,$C70:J70,$C$58:J$58))</f>
        <v>0</v>
      </c>
      <c r="K71" s="254">
        <f>IF(DebtInv_Pct=0,0,XNPV(DebtInv_ReqIRR,$C70:K70,$C$58:K$58))</f>
        <v>0</v>
      </c>
      <c r="L71" s="254">
        <f>IF(DebtInv_Pct=0,0,XNPV(DebtInv_ReqIRR,$C70:L70,$C$58:L$58))</f>
        <v>0</v>
      </c>
      <c r="M71" s="254">
        <f>IF(DebtInv_Pct=0,0,XNPV(DebtInv_ReqIRR,$C70:M70,$C$58:M$58))</f>
        <v>0</v>
      </c>
      <c r="N71" s="254">
        <f>IF(DebtInv_Pct=0,0,XNPV(DebtInv_ReqIRR,$C70:N70,$C$58:N$58))</f>
        <v>0</v>
      </c>
      <c r="O71" s="254">
        <f>IF(DebtInv_Pct=0,0,XNPV(DebtInv_ReqIRR,$C70:O70,$C$58:O$58))</f>
        <v>0</v>
      </c>
      <c r="P71" s="254">
        <f>IF(DebtInv_Pct=0,0,XNPV(DebtInv_ReqIRR,$C70:P70,$C$58:P$58))</f>
        <v>0</v>
      </c>
      <c r="Q71" s="254">
        <f>IF(DebtInv_Pct=0,0,XNPV(DebtInv_ReqIRR,$C70:Q70,$C$58:Q$58))</f>
        <v>0</v>
      </c>
      <c r="R71" s="254">
        <f>IF(DebtInv_Pct=0,0,XNPV(DebtInv_ReqIRR,$C70:R70,$C$58:R$58))</f>
        <v>0</v>
      </c>
      <c r="S71" s="254">
        <f>IF(DebtInv_Pct=0,0,XNPV(DebtInv_ReqIRR,$C70:S70,$C$58:S$58))</f>
        <v>0</v>
      </c>
      <c r="T71" s="254">
        <f>IF(DebtInv_Pct=0,0,XNPV(DebtInv_ReqIRR,$C70:T70,$C$58:T$58))</f>
        <v>0</v>
      </c>
      <c r="U71" s="254">
        <f>IF(DebtInv_Pct=0,0,XNPV(DebtInv_ReqIRR,$C70:U70,$C$58:U$58))</f>
        <v>0</v>
      </c>
      <c r="V71" s="254">
        <f>IF(DebtInv_Pct=0,0,XNPV(DebtInv_ReqIRR,$C70:V70,$C$58:V$58))</f>
        <v>0</v>
      </c>
      <c r="W71" s="254">
        <f>IF(DebtInv_Pct=0,0,XNPV(DebtInv_ReqIRR,$C70:W70,$C$58:W$58))</f>
        <v>0</v>
      </c>
      <c r="X71" s="254">
        <f>IF(DebtInv_Pct=0,0,XNPV(DebtInv_ReqIRR,$C70:X70,$C$58:X$58))</f>
        <v>0</v>
      </c>
      <c r="Y71" s="254">
        <f>IF(DebtInv_Pct=0,0,XNPV(DebtInv_ReqIRR,$C70:Y70,$C$58:Y$58))</f>
        <v>0</v>
      </c>
      <c r="Z71" s="254">
        <f>IF(DebtInv_Pct=0,0,XNPV(DebtInv_ReqIRR,$C70:Z70,$C$58:Z$58))</f>
        <v>0</v>
      </c>
      <c r="AA71" s="254">
        <f>IF(DebtInv_Pct=0,0,XNPV(DebtInv_ReqIRR,$C70:AA70,$C$58:AA$58))</f>
        <v>0</v>
      </c>
      <c r="AB71" s="254">
        <f>IF(DebtInv_Pct=0,0,XNPV(DebtInv_ReqIRR,$C70:AB70,$C$58:AB$58))</f>
        <v>0</v>
      </c>
      <c r="AC71" s="254">
        <f>IF(DebtInv_Pct=0,0,XNPV(DebtInv_ReqIRR,$C70:AC70,$C$58:AC$58))</f>
        <v>0</v>
      </c>
      <c r="AD71" s="254">
        <f>IF(DebtInv_Pct=0,0,XNPV(DebtInv_ReqIRR,$C70:AD70,$C$58:AD$58))</f>
        <v>0</v>
      </c>
      <c r="AE71" s="254">
        <f>IF(DebtInv_Pct=0,0,XNPV(DebtInv_ReqIRR,$C70:AE70,$C$58:AE$58))</f>
        <v>0</v>
      </c>
      <c r="AF71" s="254">
        <f>IF(DebtInv_Pct=0,0,XNPV(DebtInv_ReqIRR,$C70:AF70,$C$58:AF$58))</f>
        <v>0</v>
      </c>
      <c r="AG71" s="254">
        <f>IF(DebtInv_Pct=0,0,XNPV(DebtInv_ReqIRR,$C70:AG70,$C$58:AG$58))</f>
        <v>0</v>
      </c>
      <c r="AH71" s="254">
        <f>IF(DebtInv_Pct=0,0,XNPV(DebtInv_ReqIRR,$C70:AH70,$C$58:AH$58))</f>
        <v>0</v>
      </c>
      <c r="AI71" s="254">
        <f>IF(DebtInv_Pct=0,0,XNPV(DebtInv_ReqIRR,$C70:AI70,$C$58:AI$58))</f>
        <v>0</v>
      </c>
      <c r="AJ71" s="254">
        <f>IF(DebtInv_Pct=0,0,XNPV(DebtInv_ReqIRR,$C70:AJ70,$C$58:AJ$58))</f>
        <v>0</v>
      </c>
      <c r="AK71" s="254">
        <f>IF(DebtInv_Pct=0,0,XNPV(DebtInv_ReqIRR,$C70:AK70,$C$58:AK$58))</f>
        <v>0</v>
      </c>
      <c r="AL71" s="254">
        <f>IF(DebtInv_Pct=0,0,XNPV(DebtInv_ReqIRR,$C70:AL70,$C$58:AL$58))</f>
        <v>0</v>
      </c>
      <c r="AM71" s="254">
        <f>IF(DebtInv_Pct=0,0,XNPV(DebtInv_ReqIRR,$C70:AM70,$C$58:AM$58))</f>
        <v>0</v>
      </c>
      <c r="AN71" s="254">
        <f>IF(DebtInv_Pct=0,0,XNPV(DebtInv_ReqIRR,$C70:AN70,$C$58:AN$58))</f>
        <v>0</v>
      </c>
      <c r="AO71" s="254">
        <f>IF(DebtInv_Pct=0,0,XNPV(DebtInv_ReqIRR,$C70:AO70,$C$58:AO$58))</f>
        <v>0</v>
      </c>
      <c r="AP71" s="254">
        <f>IF(DebtInv_Pct=0,0,XNPV(DebtInv_ReqIRR,$C70:AP70,$C$58:AP$58))</f>
        <v>0</v>
      </c>
      <c r="AQ71" s="254">
        <f>IF(DebtInv_Pct=0,0,XNPV(DebtInv_ReqIRR,$C70:AQ70,$C$58:AQ$58))</f>
        <v>0</v>
      </c>
      <c r="AR71" s="254">
        <f>IF(DebtInv_Pct=0,0,XNPV(DebtInv_ReqIRR,$C70:AR70,$C$58:AR$58))</f>
        <v>0</v>
      </c>
      <c r="AS71" s="254">
        <f>IF(DebtInv_Pct=0,0,XNPV(DebtInv_ReqIRR,$C70:AS70,$C$58:AS$58))</f>
        <v>0</v>
      </c>
      <c r="AT71" s="254">
        <f>IF(DebtInv_Pct=0,0,XNPV(DebtInv_ReqIRR,$C70:AT70,$C$58:AT$58))</f>
        <v>0</v>
      </c>
      <c r="AU71" s="254">
        <f>IF(DebtInv_Pct=0,0,XNPV(DebtInv_ReqIRR,$C70:AU70,$C$58:AU$58))</f>
        <v>0</v>
      </c>
      <c r="AV71" s="254">
        <f>IF(DebtInv_Pct=0,0,XNPV(DebtInv_ReqIRR,$C70:AV70,$C$58:AV$58))</f>
        <v>0</v>
      </c>
      <c r="AW71" s="254">
        <f>IF(DebtInv_Pct=0,0,XNPV(DebtInv_ReqIRR,$C70:AW70,$C$58:AW$58))</f>
        <v>0</v>
      </c>
      <c r="AX71" s="254">
        <f>IF(DebtInv_Pct=0,0,XNPV(DebtInv_ReqIRR,$C70:AX70,$C$58:AX$58))</f>
        <v>0</v>
      </c>
      <c r="AY71" s="254">
        <f>IF(DebtInv_Pct=0,0,XNPV(DebtInv_ReqIRR,$C70:AY70,$C$58:AY$58))</f>
        <v>0</v>
      </c>
      <c r="AZ71" s="254">
        <f>IF(DebtInv_Pct=0,0,XNPV(DebtInv_ReqIRR,$C70:AZ70,$C$58:AZ$58))</f>
        <v>0</v>
      </c>
      <c r="BA71" s="254">
        <f>IF(DebtInv_Pct=0,0,XNPV(DebtInv_ReqIRR,$C70:BA70,$C$58:BA$58))</f>
        <v>0</v>
      </c>
      <c r="BB71" s="254">
        <f>IF(DebtInv_Pct=0,0,XNPV(DebtInv_ReqIRR,$C70:BB70,$C$58:BB$58))</f>
        <v>0</v>
      </c>
      <c r="BC71" s="254">
        <f>IF(DebtInv_Pct=0,0,XNPV(DebtInv_ReqIRR,$C70:BC70,$C$58:BC$58))</f>
        <v>0</v>
      </c>
      <c r="BD71" s="254">
        <f>IF(DebtInv_Pct=0,0,XNPV(DebtInv_ReqIRR,$C70:BD70,$C$58:BD$58))</f>
        <v>0</v>
      </c>
      <c r="BE71" s="254">
        <f>IF(DebtInv_Pct=0,0,XNPV(DebtInv_ReqIRR,$C70:BE70,$C$58:BE$58))</f>
        <v>0</v>
      </c>
      <c r="BF71" s="254">
        <f>IF(DebtInv_Pct=0,0,XNPV(DebtInv_ReqIRR,$C70:BF70,$C$58:BF$58))</f>
        <v>0</v>
      </c>
      <c r="BG71" s="254">
        <f>IF(DebtInv_Pct=0,0,XNPV(DebtInv_ReqIRR,$C70:BG70,$C$58:BG$58))</f>
        <v>0</v>
      </c>
      <c r="BH71" s="254">
        <f>IF(DebtInv_Pct=0,0,XNPV(DebtInv_ReqIRR,$C70:BH70,$C$58:BH$58))</f>
        <v>0</v>
      </c>
      <c r="BI71" s="254">
        <f>IF(DebtInv_Pct=0,0,XNPV(DebtInv_ReqIRR,$C70:BI70,$C$58:BI$58))</f>
        <v>0</v>
      </c>
      <c r="BJ71" s="254">
        <f>IF(DebtInv_Pct=0,0,XNPV(DebtInv_ReqIRR,$C70:BJ70,$C$58:BJ$58))</f>
        <v>0</v>
      </c>
      <c r="BK71" s="254">
        <f>IF(DebtInv_Pct=0,0,XNPV(DebtInv_ReqIRR,$C70:BK70,$C$58:BK$58))</f>
        <v>0</v>
      </c>
      <c r="BL71" s="254">
        <f>IF(DebtInv_Pct=0,0,XNPV(DebtInv_ReqIRR,$C70:BL70,$C$58:BL$58))</f>
        <v>0</v>
      </c>
      <c r="BM71" s="254">
        <f>IF(DebtInv_Pct=0,0,XNPV(DebtInv_ReqIRR,$C70:BM70,$C$58:BM$58))</f>
        <v>0</v>
      </c>
      <c r="BN71" s="254">
        <f>IF(DebtInv_Pct=0,0,XNPV(DebtInv_ReqIRR,$C70:BN70,$C$58:BN$58))</f>
        <v>0</v>
      </c>
      <c r="BO71" s="254">
        <f>IF(DebtInv_Pct=0,0,XNPV(DebtInv_ReqIRR,$C70:BO70,$C$58:BO$58))</f>
        <v>0</v>
      </c>
      <c r="BP71" s="254">
        <f>IF(DebtInv_Pct=0,0,XNPV(DebtInv_ReqIRR,$C70:BP70,$C$58:BP$58))</f>
        <v>0</v>
      </c>
      <c r="BQ71" s="254">
        <f>IF(DebtInv_Pct=0,0,XNPV(DebtInv_ReqIRR,$C70:BQ70,$C$58:BQ$58))</f>
        <v>0</v>
      </c>
      <c r="BR71" s="254">
        <f>IF(DebtInv_Pct=0,0,XNPV(DebtInv_ReqIRR,$C70:BR70,$C$58:BR$58))</f>
        <v>0</v>
      </c>
      <c r="BS71" s="254">
        <f>IF(DebtInv_Pct=0,0,XNPV(DebtInv_ReqIRR,$C70:BS70,$C$58:BS$58))</f>
        <v>0</v>
      </c>
      <c r="BT71" s="254">
        <f>IF(DebtInv_Pct=0,0,XNPV(DebtInv_ReqIRR,$C70:BT70,$C$58:BT$58))</f>
        <v>0</v>
      </c>
      <c r="BU71" s="254">
        <f>IF(DebtInv_Pct=0,0,XNPV(DebtInv_ReqIRR,$C70:BU70,$C$58:BU$58))</f>
        <v>0</v>
      </c>
      <c r="BV71" s="254">
        <f>IF(DebtInv_Pct=0,0,XNPV(DebtInv_ReqIRR,$C70:BV70,$C$58:BV$58))</f>
        <v>0</v>
      </c>
      <c r="BW71" s="254">
        <f>IF(DebtInv_Pct=0,0,XNPV(DebtInv_ReqIRR,$C70:BW70,$C$58:BW$58))</f>
        <v>0</v>
      </c>
      <c r="BX71" s="254">
        <f>IF(DebtInv_Pct=0,0,XNPV(DebtInv_ReqIRR,$C70:BX70,$C$58:BX$58))</f>
        <v>0</v>
      </c>
      <c r="BY71" s="254">
        <f>IF(DebtInv_Pct=0,0,XNPV(DebtInv_ReqIRR,$C70:BY70,$C$58:BY$58))</f>
        <v>0</v>
      </c>
      <c r="BZ71" s="254">
        <f>IF(DebtInv_Pct=0,0,XNPV(DebtInv_ReqIRR,$C70:BZ70,$C$58:BZ$58))</f>
        <v>0</v>
      </c>
      <c r="CA71" s="254">
        <f>IF(DebtInv_Pct=0,0,XNPV(DebtInv_ReqIRR,$C70:CA70,$C$58:CA$58))</f>
        <v>0</v>
      </c>
      <c r="CB71" s="254">
        <f>IF(DebtInv_Pct=0,0,XNPV(DebtInv_ReqIRR,$C70:CB70,$C$58:CB$58))</f>
        <v>0</v>
      </c>
      <c r="CC71" s="254">
        <f>IF(DebtInv_Pct=0,0,XNPV(DebtInv_ReqIRR,$C70:CC70,$C$58:CC$58))</f>
        <v>0</v>
      </c>
      <c r="CD71" s="254">
        <f>IF(DebtInv_Pct=0,0,XNPV(DebtInv_ReqIRR,$C70:CD70,$C$58:CD$58))</f>
        <v>0</v>
      </c>
      <c r="CE71" s="254">
        <f>IF(DebtInv_Pct=0,0,XNPV(DebtInv_ReqIRR,$C70:CE70,$C$58:CE$58))</f>
        <v>0</v>
      </c>
      <c r="CF71" s="254">
        <f>IF(DebtInv_Pct=0,0,XNPV(DebtInv_ReqIRR,$C70:CF70,$C$58:CF$58))</f>
        <v>0</v>
      </c>
      <c r="CG71" s="254">
        <f>IF(DebtInv_Pct=0,0,XNPV(DebtInv_ReqIRR,$C70:CG70,$C$58:CG$58))</f>
        <v>0</v>
      </c>
      <c r="CH71" s="254">
        <f>IF(DebtInv_Pct=0,0,XNPV(DebtInv_ReqIRR,$C70:CH70,$C$58:CH$58))</f>
        <v>0</v>
      </c>
      <c r="CI71" s="254">
        <f>IF(DebtInv_Pct=0,0,XNPV(DebtInv_ReqIRR,$C70:CI70,$C$58:CI$58))</f>
        <v>0</v>
      </c>
      <c r="CJ71" s="254">
        <f>IF(DebtInv_Pct=0,0,XNPV(DebtInv_ReqIRR,$C70:CJ70,$C$58:CJ$58))</f>
        <v>0</v>
      </c>
      <c r="CK71" s="254">
        <f>IF(DebtInv_Pct=0,0,XNPV(DebtInv_ReqIRR,$C70:CK70,$C$58:CK$58))</f>
        <v>0</v>
      </c>
      <c r="CL71" s="254">
        <f>IF(DebtInv_Pct=0,0,XNPV(DebtInv_ReqIRR,$C70:CL70,$C$58:CL$58))</f>
        <v>0</v>
      </c>
      <c r="CM71" s="254">
        <f>IF(DebtInv_Pct=0,0,XNPV(DebtInv_ReqIRR,$C70:CM70,$C$58:CM$58))</f>
        <v>0</v>
      </c>
      <c r="CN71" s="254">
        <f>IF(DebtInv_Pct=0,0,XNPV(DebtInv_ReqIRR,$C70:CN70,$C$58:CN$58))</f>
        <v>0</v>
      </c>
      <c r="CO71" s="254">
        <f>IF(DebtInv_Pct=0,0,XNPV(DebtInv_ReqIRR,$C70:CO70,$C$58:CO$58))</f>
        <v>0</v>
      </c>
      <c r="CP71" s="254">
        <f>IF(DebtInv_Pct=0,0,XNPV(DebtInv_ReqIRR,$C70:CP70,$C$58:CP$58))</f>
        <v>0</v>
      </c>
      <c r="CQ71" s="254">
        <f>IF(DebtInv_Pct=0,0,XNPV(DebtInv_ReqIRR,$C70:CQ70,$C$58:CQ$58))</f>
        <v>0</v>
      </c>
      <c r="CR71" s="254">
        <f>IF(DebtInv_Pct=0,0,XNPV(DebtInv_ReqIRR,$C70:CR70,$C$58:CR$58))</f>
        <v>0</v>
      </c>
      <c r="CS71" s="254">
        <f>IF(DebtInv_Pct=0,0,XNPV(DebtInv_ReqIRR,$C70:CS70,$C$58:CS$58))</f>
        <v>0</v>
      </c>
      <c r="CT71" s="254">
        <f>IF(DebtInv_Pct=0,0,XNPV(DebtInv_ReqIRR,$C70:CT70,$C$58:CT$58))</f>
        <v>0</v>
      </c>
      <c r="CU71" s="254">
        <f>IF(DebtInv_Pct=0,0,XNPV(DebtInv_ReqIRR,$C70:CU70,$C$58:CU$58))</f>
        <v>0</v>
      </c>
      <c r="CV71" s="254">
        <f>IF(DebtInv_Pct=0,0,XNPV(DebtInv_ReqIRR,$C70:CV70,$C$58:CV$58))</f>
        <v>0</v>
      </c>
      <c r="CW71" s="254">
        <f>IF(DebtInv_Pct=0,0,XNPV(DebtInv_ReqIRR,$C70:CW70,$C$58:CW$58))</f>
        <v>0</v>
      </c>
      <c r="CX71" s="254">
        <f>IF(DebtInv_Pct=0,0,XNPV(DebtInv_ReqIRR,$C70:CX70,$C$58:CX$58))</f>
        <v>0</v>
      </c>
      <c r="CY71" s="254">
        <f>IF(DebtInv_Pct=0,0,XNPV(DebtInv_ReqIRR,$C70:CY70,$C$58:CY$58))</f>
        <v>0</v>
      </c>
      <c r="CZ71" s="254">
        <f>IF(DebtInv_Pct=0,0,XNPV(DebtInv_ReqIRR,$C70:CZ70,$C$58:CZ$58))</f>
        <v>0</v>
      </c>
      <c r="DA71" s="254">
        <f>IF(DebtInv_Pct=0,0,XNPV(DebtInv_ReqIRR,$C70:DA70,$C$58:DA$58))</f>
        <v>0</v>
      </c>
      <c r="DB71" s="254">
        <f>IF(DebtInv_Pct=0,0,XNPV(DebtInv_ReqIRR,$C70:DB70,$C$58:DB$58))</f>
        <v>0</v>
      </c>
      <c r="DC71" s="254">
        <f>IF(DebtInv_Pct=0,0,XNPV(DebtInv_ReqIRR,$C70:DC70,$C$58:DC$58))</f>
        <v>0</v>
      </c>
      <c r="DD71" s="254">
        <f>IF(DebtInv_Pct=0,0,XNPV(DebtInv_ReqIRR,$C70:DD70,$C$58:DD$58))</f>
        <v>0</v>
      </c>
      <c r="DE71" s="254">
        <f>IF(DebtInv_Pct=0,0,XNPV(DebtInv_ReqIRR,$C70:DE70,$C$58:DE$58))</f>
        <v>0</v>
      </c>
      <c r="DF71" s="254">
        <f>IF(DebtInv_Pct=0,0,XNPV(DebtInv_ReqIRR,$C70:DF70,$C$58:DF$58))</f>
        <v>0</v>
      </c>
      <c r="DG71" s="254">
        <f>IF(DebtInv_Pct=0,0,XNPV(DebtInv_ReqIRR,$C70:DG70,$C$58:DG$58))</f>
        <v>0</v>
      </c>
      <c r="DH71" s="254">
        <f>IF(DebtInv_Pct=0,0,XNPV(DebtInv_ReqIRR,$C70:DH70,$C$58:DH$58))</f>
        <v>0</v>
      </c>
      <c r="DI71" s="254">
        <f>IF(DebtInv_Pct=0,0,XNPV(DebtInv_ReqIRR,$C70:DI70,$C$58:DI$58))</f>
        <v>0</v>
      </c>
      <c r="DJ71" s="254">
        <f>IF(DebtInv_Pct=0,0,XNPV(DebtInv_ReqIRR,$C70:DJ70,$C$58:DJ$58))</f>
        <v>0</v>
      </c>
      <c r="DK71" s="254">
        <f>IF(DebtInv_Pct=0,0,XNPV(DebtInv_ReqIRR,$C70:DK70,$C$58:DK$58))</f>
        <v>0</v>
      </c>
      <c r="DL71" s="254">
        <f>IF(DebtInv_Pct=0,0,XNPV(DebtInv_ReqIRR,$C70:DL70,$C$58:DL$58))</f>
        <v>0</v>
      </c>
      <c r="DM71" s="254">
        <f>IF(DebtInv_Pct=0,0,XNPV(DebtInv_ReqIRR,$C70:DM70,$C$58:DM$58))</f>
        <v>0</v>
      </c>
      <c r="DN71" s="254">
        <f>IF(DebtInv_Pct=0,0,XNPV(DebtInv_ReqIRR,$C70:DN70,$C$58:DN$58))</f>
        <v>0</v>
      </c>
      <c r="DO71" s="254">
        <f>IF(DebtInv_Pct=0,0,XNPV(DebtInv_ReqIRR,$C70:DO70,$C$58:DO$58))</f>
        <v>0</v>
      </c>
      <c r="DP71" s="254">
        <f>IF(DebtInv_Pct=0,0,XNPV(DebtInv_ReqIRR,$C70:DP70,$C$58:DP$58))</f>
        <v>0</v>
      </c>
      <c r="DQ71" s="254">
        <f>IF(DebtInv_Pct=0,0,XNPV(DebtInv_ReqIRR,$C70:DQ70,$C$58:DQ$58))</f>
        <v>0</v>
      </c>
      <c r="DR71" s="254">
        <f>IF(DebtInv_Pct=0,0,XNPV(DebtInv_ReqIRR,$C70:DR70,$C$58:DR$58))</f>
        <v>0</v>
      </c>
      <c r="DS71" s="254">
        <f>IF(DebtInv_Pct=0,0,XNPV(DebtInv_ReqIRR,$C70:DS70,$C$58:DS$58))</f>
        <v>0</v>
      </c>
      <c r="DT71" s="254">
        <f>IF(DebtInv_Pct=0,0,XNPV(DebtInv_ReqIRR,$C70:DT70,$C$58:DT$58))</f>
        <v>0</v>
      </c>
      <c r="DU71" s="254">
        <f>IF(DebtInv_Pct=0,0,XNPV(DebtInv_ReqIRR,$C70:DU70,$C$58:DU$58))</f>
        <v>0</v>
      </c>
      <c r="DV71" s="254">
        <f>IF(DebtInv_Pct=0,0,XNPV(DebtInv_ReqIRR,$C70:DV70,$C$58:DV$58))</f>
        <v>0</v>
      </c>
      <c r="DW71" s="254">
        <f>IF(DebtInv_Pct=0,0,XNPV(DebtInv_ReqIRR,$C70:DW70,$C$58:DW$58))</f>
        <v>0</v>
      </c>
      <c r="DX71" s="254">
        <f>IF(DebtInv_Pct=0,0,XNPV(DebtInv_ReqIRR,$C70:DX70,$C$58:DX$58))</f>
        <v>0</v>
      </c>
      <c r="DY71" s="254">
        <f>IF(DebtInv_Pct=0,0,XNPV(DebtInv_ReqIRR,$C70:DY70,$C$58:DY$58))</f>
        <v>0</v>
      </c>
      <c r="DZ71" s="254">
        <f>IF(DebtInv_Pct=0,0,XNPV(DebtInv_ReqIRR,$C70:DZ70,$C$58:DZ$58))</f>
        <v>0</v>
      </c>
      <c r="EA71" s="254">
        <f>IF(DebtInv_Pct=0,0,XNPV(DebtInv_ReqIRR,$C70:EA70,$C$58:EA$58))</f>
        <v>0</v>
      </c>
      <c r="EB71" s="254">
        <f>IF(DebtInv_Pct=0,0,XNPV(DebtInv_ReqIRR,$C70:EB70,$C$58:EB$58))</f>
        <v>0</v>
      </c>
      <c r="EC71" s="254">
        <f>IF(DebtInv_Pct=0,0,XNPV(DebtInv_ReqIRR,$C70:EC70,$C$58:EC$58))</f>
        <v>0</v>
      </c>
      <c r="ED71" s="254">
        <f>IF(DebtInv_Pct=0,0,XNPV(DebtInv_ReqIRR,$C70:ED70,$C$58:ED$58))</f>
        <v>0</v>
      </c>
      <c r="EE71" s="254">
        <f>IF(DebtInv_Pct=0,0,XNPV(DebtInv_ReqIRR,$C70:EE70,$C$58:EE$58))</f>
        <v>0</v>
      </c>
      <c r="EF71" s="254">
        <f>IF(DebtInv_Pct=0,0,XNPV(DebtInv_ReqIRR,$C70:EF70,$C$58:EF$58))</f>
        <v>0</v>
      </c>
      <c r="EG71" s="254">
        <f>IF(DebtInv_Pct=0,0,XNPV(DebtInv_ReqIRR,$C70:EG70,$C$58:EG$58))</f>
        <v>0</v>
      </c>
      <c r="EH71" s="254">
        <f>IF(DebtInv_Pct=0,0,XNPV(DebtInv_ReqIRR,$C70:EH70,$C$58:EH$58))</f>
        <v>0</v>
      </c>
      <c r="EI71" s="254">
        <f>IF(DebtInv_Pct=0,0,XNPV(DebtInv_ReqIRR,$C70:EI70,$C$58:EI$58))</f>
        <v>0</v>
      </c>
      <c r="EJ71" s="254">
        <f>IF(DebtInv_Pct=0,0,XNPV(DebtInv_ReqIRR,$C70:EJ70,$C$58:EJ$58))</f>
        <v>0</v>
      </c>
      <c r="EK71" s="254">
        <f>IF(DebtInv_Pct=0,0,XNPV(DebtInv_ReqIRR,$C70:EK70,$C$58:EK$58))</f>
        <v>0</v>
      </c>
      <c r="EL71" s="254">
        <f>IF(DebtInv_Pct=0,0,XNPV(DebtInv_ReqIRR,$C70:EL70,$C$58:EL$58))</f>
        <v>0</v>
      </c>
      <c r="EM71" s="254">
        <f>IF(DebtInv_Pct=0,0,XNPV(DebtInv_ReqIRR,$C70:EM70,$C$58:EM$58))</f>
        <v>0</v>
      </c>
      <c r="EN71" s="254">
        <f>IF(DebtInv_Pct=0,0,XNPV(DebtInv_ReqIRR,$C70:EN70,$C$58:EN$58))</f>
        <v>0</v>
      </c>
      <c r="EO71" s="254">
        <f>IF(DebtInv_Pct=0,0,XNPV(DebtInv_ReqIRR,$C70:EO70,$C$58:EO$58))</f>
        <v>0</v>
      </c>
      <c r="EP71" s="254">
        <f>IF(DebtInv_Pct=0,0,XNPV(DebtInv_ReqIRR,$C70:EP70,$C$58:EP$58))</f>
        <v>0</v>
      </c>
      <c r="EQ71" s="254">
        <f>IF(DebtInv_Pct=0,0,XNPV(DebtInv_ReqIRR,$C70:EQ70,$C$58:EQ$58))</f>
        <v>0</v>
      </c>
      <c r="ER71" s="254">
        <f>IF(DebtInv_Pct=0,0,XNPV(DebtInv_ReqIRR,$C70:ER70,$C$58:ER$58))</f>
        <v>0</v>
      </c>
      <c r="ES71" s="254">
        <f>IF(DebtInv_Pct=0,0,XNPV(DebtInv_ReqIRR,$C70:ES70,$C$58:ES$58))</f>
        <v>0</v>
      </c>
      <c r="ET71" s="254">
        <f>IF(DebtInv_Pct=0,0,XNPV(DebtInv_ReqIRR,$C70:ET70,$C$58:ET$58))</f>
        <v>0</v>
      </c>
      <c r="EU71" s="254">
        <f>IF(DebtInv_Pct=0,0,XNPV(DebtInv_ReqIRR,$C70:EU70,$C$58:EU$58))</f>
        <v>0</v>
      </c>
      <c r="EV71" s="254">
        <f>IF(DebtInv_Pct=0,0,XNPV(DebtInv_ReqIRR,$C70:EV70,$C$58:EV$58))</f>
        <v>0</v>
      </c>
      <c r="EW71" s="254">
        <f>IF(DebtInv_Pct=0,0,XNPV(DebtInv_ReqIRR,$C70:EW70,$C$58:EW$58))</f>
        <v>0</v>
      </c>
      <c r="EX71" s="254">
        <f>IF(DebtInv_Pct=0,0,XNPV(DebtInv_ReqIRR,$C70:EX70,$C$58:EX$58))</f>
        <v>0</v>
      </c>
      <c r="EY71" s="254">
        <f>IF(DebtInv_Pct=0,0,XNPV(DebtInv_ReqIRR,$C70:EY70,$C$58:EY$58))</f>
        <v>0</v>
      </c>
      <c r="EZ71" s="254">
        <f>IF(DebtInv_Pct=0,0,XNPV(DebtInv_ReqIRR,$C70:EZ70,$C$58:EZ$58))</f>
        <v>0</v>
      </c>
      <c r="FA71" s="254">
        <f>IF(DebtInv_Pct=0,0,XNPV(DebtInv_ReqIRR,$C70:FA70,$C$58:FA$58))</f>
        <v>0</v>
      </c>
      <c r="FB71" s="254">
        <f>IF(DebtInv_Pct=0,0,XNPV(DebtInv_ReqIRR,$C70:FB70,$C$58:FB$58))</f>
        <v>0</v>
      </c>
      <c r="FC71" s="254">
        <f>IF(DebtInv_Pct=0,0,XNPV(DebtInv_ReqIRR,$C70:FC70,$C$58:FC$58))</f>
        <v>0</v>
      </c>
      <c r="FD71" s="254">
        <f>IF(DebtInv_Pct=0,0,XNPV(DebtInv_ReqIRR,$C70:FD70,$C$58:FD$58))</f>
        <v>0</v>
      </c>
      <c r="FE71" s="254">
        <f>IF(DebtInv_Pct=0,0,XNPV(DebtInv_ReqIRR,$C70:FE70,$C$58:FE$58))</f>
        <v>0</v>
      </c>
      <c r="FF71" s="254">
        <f>IF(DebtInv_Pct=0,0,XNPV(DebtInv_ReqIRR,$C70:FF70,$C$58:FF$58))</f>
        <v>0</v>
      </c>
      <c r="FG71" s="254">
        <f>IF(DebtInv_Pct=0,0,XNPV(DebtInv_ReqIRR,$C70:FG70,$C$58:FG$58))</f>
        <v>0</v>
      </c>
      <c r="FH71" s="254">
        <f>IF(DebtInv_Pct=0,0,XNPV(DebtInv_ReqIRR,$C70:FH70,$C$58:FH$58))</f>
        <v>0</v>
      </c>
      <c r="FI71" s="254">
        <f>IF(DebtInv_Pct=0,0,XNPV(DebtInv_ReqIRR,$C70:FI70,$C$58:FI$58))</f>
        <v>0</v>
      </c>
      <c r="FJ71" s="254">
        <f>IF(DebtInv_Pct=0,0,XNPV(DebtInv_ReqIRR,$C70:FJ70,$C$58:FJ$58))</f>
        <v>0</v>
      </c>
      <c r="FK71" s="254">
        <f>IF(DebtInv_Pct=0,0,XNPV(DebtInv_ReqIRR,$C70:FK70,$C$58:FK$58))</f>
        <v>0</v>
      </c>
      <c r="FL71" s="254">
        <f>IF(DebtInv_Pct=0,0,XNPV(DebtInv_ReqIRR,$C70:FL70,$C$58:FL$58))</f>
        <v>0</v>
      </c>
      <c r="FM71" s="254">
        <f>IF(DebtInv_Pct=0,0,XNPV(DebtInv_ReqIRR,$C70:FM70,$C$58:FM$58))</f>
        <v>0</v>
      </c>
      <c r="FN71" s="254">
        <f>IF(DebtInv_Pct=0,0,XNPV(DebtInv_ReqIRR,$C70:FN70,$C$58:FN$58))</f>
        <v>0</v>
      </c>
      <c r="FO71" s="254">
        <f>IF(DebtInv_Pct=0,0,XNPV(DebtInv_ReqIRR,$C70:FO70,$C$58:FO$58))</f>
        <v>0</v>
      </c>
      <c r="FP71" s="254">
        <f>IF(DebtInv_Pct=0,0,XNPV(DebtInv_ReqIRR,$C70:FP70,$C$58:FP$58))</f>
        <v>0</v>
      </c>
      <c r="FQ71" s="254">
        <f>IF(DebtInv_Pct=0,0,XNPV(DebtInv_ReqIRR,$C70:FQ70,$C$58:FQ$58))</f>
        <v>0</v>
      </c>
      <c r="FR71" s="254">
        <f>IF(DebtInv_Pct=0,0,XNPV(DebtInv_ReqIRR,$C70:FR70,$C$58:FR$58))</f>
        <v>0</v>
      </c>
      <c r="FS71" s="254">
        <f>IF(DebtInv_Pct=0,0,XNPV(DebtInv_ReqIRR,$C70:FS70,$C$58:FS$58))</f>
        <v>0</v>
      </c>
      <c r="FT71" s="254">
        <f>IF(DebtInv_Pct=0,0,XNPV(DebtInv_ReqIRR,$C70:FT70,$C$58:FT$58))</f>
        <v>0</v>
      </c>
      <c r="FU71" s="254">
        <f>IF(DebtInv_Pct=0,0,XNPV(DebtInv_ReqIRR,$C70:FU70,$C$58:FU$58))</f>
        <v>0</v>
      </c>
      <c r="FV71" s="254">
        <f>IF(DebtInv_Pct=0,0,XNPV(DebtInv_ReqIRR,$C70:FV70,$C$58:FV$58))</f>
        <v>0</v>
      </c>
      <c r="FW71" s="254">
        <f>IF(DebtInv_Pct=0,0,XNPV(DebtInv_ReqIRR,$C70:FW70,$C$58:FW$58))</f>
        <v>0</v>
      </c>
      <c r="FX71" s="254">
        <f>IF(DebtInv_Pct=0,0,XNPV(DebtInv_ReqIRR,$C70:FX70,$C$58:FX$58))</f>
        <v>0</v>
      </c>
      <c r="FY71" s="254">
        <f>IF(DebtInv_Pct=0,0,XNPV(DebtInv_ReqIRR,$C70:FY70,$C$58:FY$58))</f>
        <v>0</v>
      </c>
      <c r="FZ71" s="254">
        <f>IF(DebtInv_Pct=0,0,XNPV(DebtInv_ReqIRR,$C70:FZ70,$C$58:FZ$58))</f>
        <v>0</v>
      </c>
      <c r="GA71" s="268">
        <f>IF(DebtInv_Pct=0,0,XNPV(DebtInv_ReqIRR,$C70:GA70,$C$58:GA$58))</f>
        <v>0</v>
      </c>
    </row>
    <row r="72" spans="1:183" x14ac:dyDescent="0.15">
      <c r="A72" s="279" t="s">
        <v>823</v>
      </c>
      <c r="C72" s="269">
        <f>-C12+C25</f>
        <v>0</v>
      </c>
      <c r="D72" s="254">
        <f>IF(DebtInv_Pct=0,0,IF($C72+C71&gt;=0,0,IF($C72+D71&gt;=0,-XNPV(DebtInv_ReqIRR,$C72:C72,$C$58:C$58)*FV(DebtInv_ReqIRR,(D$58-$C$58)/365,0,-1),D70)))</f>
        <v>0</v>
      </c>
      <c r="E72" s="254">
        <f>IF(DebtInv_Pct=0,0,IF($C72+D71&gt;=0,0,IF($C72+E71&gt;=0,-XNPV(DebtInv_ReqIRR,$C72:D72,$C$58:D$58)*FV(DebtInv_ReqIRR,(E$58-$C$58)/365,0,-1),E70)))</f>
        <v>0</v>
      </c>
      <c r="F72" s="254">
        <f>IF(DebtInv_Pct=0,0,IF($C72+E71&gt;=0,0,IF($C72+F71&gt;=0,-XNPV(DebtInv_ReqIRR,$C72:E72,$C$58:E$58)*FV(DebtInv_ReqIRR,(F$58-$C$58)/365,0,-1),F70)))</f>
        <v>0</v>
      </c>
      <c r="G72" s="254">
        <f>IF(DebtInv_Pct=0,0,IF($C72+F71&gt;=0,0,IF($C72+G71&gt;=0,-XNPV(DebtInv_ReqIRR,$C72:F72,$C$58:F$58)*FV(DebtInv_ReqIRR,(G$58-$C$58)/365,0,-1),G70)))</f>
        <v>0</v>
      </c>
      <c r="H72" s="254">
        <f>IF(DebtInv_Pct=0,0,IF($C72+G71&gt;=0,0,IF($C72+H71&gt;=0,-XNPV(DebtInv_ReqIRR,$C72:G72,$C$58:G$58)*FV(DebtInv_ReqIRR,(H$58-$C$58)/365,0,-1),H70)))</f>
        <v>0</v>
      </c>
      <c r="I72" s="254">
        <f>IF(DebtInv_Pct=0,0,IF($C72+H71&gt;=0,0,IF($C72+I71&gt;=0,-XNPV(DebtInv_ReqIRR,$C72:H72,$C$58:H$58)*FV(DebtInv_ReqIRR,(I$58-$C$58)/365,0,-1),I70)))</f>
        <v>0</v>
      </c>
      <c r="J72" s="254">
        <f>IF(DebtInv_Pct=0,0,IF($C72+I71&gt;=0,0,IF($C72+J71&gt;=0,-XNPV(DebtInv_ReqIRR,$C72:I72,$C$58:I$58)*FV(DebtInv_ReqIRR,(J$58-$C$58)/365,0,-1),J70)))</f>
        <v>0</v>
      </c>
      <c r="K72" s="254">
        <f>IF(DebtInv_Pct=0,0,IF($C72+J71&gt;=0,0,IF($C72+K71&gt;=0,-XNPV(DebtInv_ReqIRR,$C72:J72,$C$58:J$58)*FV(DebtInv_ReqIRR,(K$58-$C$58)/365,0,-1),K70)))</f>
        <v>0</v>
      </c>
      <c r="L72" s="254">
        <f>IF(DebtInv_Pct=0,0,IF($C72+K71&gt;=0,0,IF($C72+L71&gt;=0,-XNPV(DebtInv_ReqIRR,$C72:K72,$C$58:K$58)*FV(DebtInv_ReqIRR,(L$58-$C$58)/365,0,-1),L70)))</f>
        <v>0</v>
      </c>
      <c r="M72" s="254">
        <f>IF(DebtInv_Pct=0,0,IF($C72+L71&gt;=0,0,IF($C72+M71&gt;=0,-XNPV(DebtInv_ReqIRR,$C72:L72,$C$58:L$58)*FV(DebtInv_ReqIRR,(M$58-$C$58)/365,0,-1),M70)))</f>
        <v>0</v>
      </c>
      <c r="N72" s="254">
        <f>IF(DebtInv_Pct=0,0,IF($C72+M71&gt;=0,0,IF($C72+N71&gt;=0,-XNPV(DebtInv_ReqIRR,$C72:M72,$C$58:M$58)*FV(DebtInv_ReqIRR,(N$58-$C$58)/365,0,-1),N70)))</f>
        <v>0</v>
      </c>
      <c r="O72" s="254">
        <f>IF(DebtInv_Pct=0,0,IF($C72+N71&gt;=0,0,IF($C72+O71&gt;=0,-XNPV(DebtInv_ReqIRR,$C72:N72,$C$58:N$58)*FV(DebtInv_ReqIRR,(O$58-$C$58)/365,0,-1),O70)))</f>
        <v>0</v>
      </c>
      <c r="P72" s="254">
        <f>IF(DebtInv_Pct=0,0,IF($C72+O71&gt;=0,0,IF($C72+P71&gt;=0,-XNPV(DebtInv_ReqIRR,$C72:O72,$C$58:O$58)*FV(DebtInv_ReqIRR,(P$58-$C$58)/365,0,-1),P70)))</f>
        <v>0</v>
      </c>
      <c r="Q72" s="254">
        <f>IF(DebtInv_Pct=0,0,IF($C72+P71&gt;=0,0,IF($C72+Q71&gt;=0,-XNPV(DebtInv_ReqIRR,$C72:P72,$C$58:P$58)*FV(DebtInv_ReqIRR,(Q$58-$C$58)/365,0,-1),Q70)))</f>
        <v>0</v>
      </c>
      <c r="R72" s="254">
        <f>IF(DebtInv_Pct=0,0,IF($C72+Q71&gt;=0,0,IF($C72+R71&gt;=0,-XNPV(DebtInv_ReqIRR,$C72:Q72,$C$58:Q$58)*FV(DebtInv_ReqIRR,(R$58-$C$58)/365,0,-1),R70)))</f>
        <v>0</v>
      </c>
      <c r="S72" s="254">
        <f>IF(DebtInv_Pct=0,0,IF($C72+R71&gt;=0,0,IF($C72+S71&gt;=0,-XNPV(DebtInv_ReqIRR,$C72:R72,$C$58:R$58)*FV(DebtInv_ReqIRR,(S$58-$C$58)/365,0,-1),S70)))</f>
        <v>0</v>
      </c>
      <c r="T72" s="254">
        <f>IF(DebtInv_Pct=0,0,IF($C72+S71&gt;=0,0,IF($C72+T71&gt;=0,-XNPV(DebtInv_ReqIRR,$C72:S72,$C$58:S$58)*FV(DebtInv_ReqIRR,(T$58-$C$58)/365,0,-1),T70)))</f>
        <v>0</v>
      </c>
      <c r="U72" s="254">
        <f>IF(DebtInv_Pct=0,0,IF($C72+T71&gt;=0,0,IF($C72+U71&gt;=0,-XNPV(DebtInv_ReqIRR,$C72:T72,$C$58:T$58)*FV(DebtInv_ReqIRR,(U$58-$C$58)/365,0,-1),U70)))</f>
        <v>0</v>
      </c>
      <c r="V72" s="254">
        <f>IF(DebtInv_Pct=0,0,IF($C72+U71&gt;=0,0,IF($C72+V71&gt;=0,-XNPV(DebtInv_ReqIRR,$C72:U72,$C$58:U$58)*FV(DebtInv_ReqIRR,(V$58-$C$58)/365,0,-1),V70)))</f>
        <v>0</v>
      </c>
      <c r="W72" s="254">
        <f>IF(DebtInv_Pct=0,0,IF($C72+V71&gt;=0,0,IF($C72+W71&gt;=0,-XNPV(DebtInv_ReqIRR,$C72:V72,$C$58:V$58)*FV(DebtInv_ReqIRR,(W$58-$C$58)/365,0,-1),W70)))</f>
        <v>0</v>
      </c>
      <c r="X72" s="254">
        <f>IF(DebtInv_Pct=0,0,IF($C72+W71&gt;=0,0,IF($C72+X71&gt;=0,-XNPV(DebtInv_ReqIRR,$C72:W72,$C$58:W$58)*FV(DebtInv_ReqIRR,(X$58-$C$58)/365,0,-1),X70)))</f>
        <v>0</v>
      </c>
      <c r="Y72" s="254">
        <f>IF(DebtInv_Pct=0,0,IF($C72+X71&gt;=0,0,IF($C72+Y71&gt;=0,-XNPV(DebtInv_ReqIRR,$C72:X72,$C$58:X$58)*FV(DebtInv_ReqIRR,(Y$58-$C$58)/365,0,-1),Y70)))</f>
        <v>0</v>
      </c>
      <c r="Z72" s="254">
        <f>IF(DebtInv_Pct=0,0,IF($C72+Y71&gt;=0,0,IF($C72+Z71&gt;=0,-XNPV(DebtInv_ReqIRR,$C72:Y72,$C$58:Y$58)*FV(DebtInv_ReqIRR,(Z$58-$C$58)/365,0,-1),Z70)))</f>
        <v>0</v>
      </c>
      <c r="AA72" s="254">
        <f>IF(DebtInv_Pct=0,0,IF($C72+Z71&gt;=0,0,IF($C72+AA71&gt;=0,-XNPV(DebtInv_ReqIRR,$C72:Z72,$C$58:Z$58)*FV(DebtInv_ReqIRR,(AA$58-$C$58)/365,0,-1),AA70)))</f>
        <v>0</v>
      </c>
      <c r="AB72" s="254">
        <f>IF(DebtInv_Pct=0,0,IF($C72+AA71&gt;=0,0,IF($C72+AB71&gt;=0,-XNPV(DebtInv_ReqIRR,$C72:AA72,$C$58:AA$58)*FV(DebtInv_ReqIRR,(AB$58-$C$58)/365,0,-1),AB70)))</f>
        <v>0</v>
      </c>
      <c r="AC72" s="254">
        <f>IF(DebtInv_Pct=0,0,IF($C72+AB71&gt;=0,0,IF($C72+AC71&gt;=0,-XNPV(DebtInv_ReqIRR,$C72:AB72,$C$58:AB$58)*FV(DebtInv_ReqIRR,(AC$58-$C$58)/365,0,-1),AC70)))</f>
        <v>0</v>
      </c>
      <c r="AD72" s="254">
        <f>IF(DebtInv_Pct=0,0,IF($C72+AC71&gt;=0,0,IF($C72+AD71&gt;=0,-XNPV(DebtInv_ReqIRR,$C72:AC72,$C$58:AC$58)*FV(DebtInv_ReqIRR,(AD$58-$C$58)/365,0,-1),AD70)))</f>
        <v>0</v>
      </c>
      <c r="AE72" s="254">
        <f>IF(DebtInv_Pct=0,0,IF($C72+AD71&gt;=0,0,IF($C72+AE71&gt;=0,-XNPV(DebtInv_ReqIRR,$C72:AD72,$C$58:AD$58)*FV(DebtInv_ReqIRR,(AE$58-$C$58)/365,0,-1),AE70)))</f>
        <v>0</v>
      </c>
      <c r="AF72" s="254">
        <f>IF(DebtInv_Pct=0,0,IF($C72+AE71&gt;=0,0,IF($C72+AF71&gt;=0,-XNPV(DebtInv_ReqIRR,$C72:AE72,$C$58:AE$58)*FV(DebtInv_ReqIRR,(AF$58-$C$58)/365,0,-1),AF70)))</f>
        <v>0</v>
      </c>
      <c r="AG72" s="254">
        <f>IF(DebtInv_Pct=0,0,IF($C72+AF71&gt;=0,0,IF($C72+AG71&gt;=0,-XNPV(DebtInv_ReqIRR,$C72:AF72,$C$58:AF$58)*FV(DebtInv_ReqIRR,(AG$58-$C$58)/365,0,-1),AG70)))</f>
        <v>0</v>
      </c>
      <c r="AH72" s="254">
        <f>IF(DebtInv_Pct=0,0,IF($C72+AG71&gt;=0,0,IF($C72+AH71&gt;=0,-XNPV(DebtInv_ReqIRR,$C72:AG72,$C$58:AG$58)*FV(DebtInv_ReqIRR,(AH$58-$C$58)/365,0,-1),AH70)))</f>
        <v>0</v>
      </c>
      <c r="AI72" s="254">
        <f>IF(DebtInv_Pct=0,0,IF($C72+AH71&gt;=0,0,IF($C72+AI71&gt;=0,-XNPV(DebtInv_ReqIRR,$C72:AH72,$C$58:AH$58)*FV(DebtInv_ReqIRR,(AI$58-$C$58)/365,0,-1),AI70)))</f>
        <v>0</v>
      </c>
      <c r="AJ72" s="254">
        <f>IF(DebtInv_Pct=0,0,IF($C72+AI71&gt;=0,0,IF($C72+AJ71&gt;=0,-XNPV(DebtInv_ReqIRR,$C72:AI72,$C$58:AI$58)*FV(DebtInv_ReqIRR,(AJ$58-$C$58)/365,0,-1),AJ70)))</f>
        <v>0</v>
      </c>
      <c r="AK72" s="254">
        <f>IF(DebtInv_Pct=0,0,IF($C72+AJ71&gt;=0,0,IF($C72+AK71&gt;=0,-XNPV(DebtInv_ReqIRR,$C72:AJ72,$C$58:AJ$58)*FV(DebtInv_ReqIRR,(AK$58-$C$58)/365,0,-1),AK70)))</f>
        <v>0</v>
      </c>
      <c r="AL72" s="254">
        <f>IF(DebtInv_Pct=0,0,IF($C72+AK71&gt;=0,0,IF($C72+AL71&gt;=0,-XNPV(DebtInv_ReqIRR,$C72:AK72,$C$58:AK$58)*FV(DebtInv_ReqIRR,(AL$58-$C$58)/365,0,-1),AL70)))</f>
        <v>0</v>
      </c>
      <c r="AM72" s="254">
        <f>IF(DebtInv_Pct=0,0,IF($C72+AL71&gt;=0,0,IF($C72+AM71&gt;=0,-XNPV(DebtInv_ReqIRR,$C72:AL72,$C$58:AL$58)*FV(DebtInv_ReqIRR,(AM$58-$C$58)/365,0,-1),AM70)))</f>
        <v>0</v>
      </c>
      <c r="AN72" s="254">
        <f>IF(DebtInv_Pct=0,0,IF($C72+AM71&gt;=0,0,IF($C72+AN71&gt;=0,-XNPV(DebtInv_ReqIRR,$C72:AM72,$C$58:AM$58)*FV(DebtInv_ReqIRR,(AN$58-$C$58)/365,0,-1),AN70)))</f>
        <v>0</v>
      </c>
      <c r="AO72" s="254">
        <f>IF(DebtInv_Pct=0,0,IF($C72+AN71&gt;=0,0,IF($C72+AO71&gt;=0,-XNPV(DebtInv_ReqIRR,$C72:AN72,$C$58:AN$58)*FV(DebtInv_ReqIRR,(AO$58-$C$58)/365,0,-1),AO70)))</f>
        <v>0</v>
      </c>
      <c r="AP72" s="254">
        <f>IF(DebtInv_Pct=0,0,IF($C72+AO71&gt;=0,0,IF($C72+AP71&gt;=0,-XNPV(DebtInv_ReqIRR,$C72:AO72,$C$58:AO$58)*FV(DebtInv_ReqIRR,(AP$58-$C$58)/365,0,-1),AP70)))</f>
        <v>0</v>
      </c>
      <c r="AQ72" s="254">
        <f>IF(DebtInv_Pct=0,0,IF($C72+AP71&gt;=0,0,IF($C72+AQ71&gt;=0,-XNPV(DebtInv_ReqIRR,$C72:AP72,$C$58:AP$58)*FV(DebtInv_ReqIRR,(AQ$58-$C$58)/365,0,-1),AQ70)))</f>
        <v>0</v>
      </c>
      <c r="AR72" s="254">
        <f>IF(DebtInv_Pct=0,0,IF($C72+AQ71&gt;=0,0,IF($C72+AR71&gt;=0,-XNPV(DebtInv_ReqIRR,$C72:AQ72,$C$58:AQ$58)*FV(DebtInv_ReqIRR,(AR$58-$C$58)/365,0,-1),AR70)))</f>
        <v>0</v>
      </c>
      <c r="AS72" s="254">
        <f>IF(DebtInv_Pct=0,0,IF($C72+AR71&gt;=0,0,IF($C72+AS71&gt;=0,-XNPV(DebtInv_ReqIRR,$C72:AR72,$C$58:AR$58)*FV(DebtInv_ReqIRR,(AS$58-$C$58)/365,0,-1),AS70)))</f>
        <v>0</v>
      </c>
      <c r="AT72" s="254">
        <f>IF(DebtInv_Pct=0,0,IF($C72+AS71&gt;=0,0,IF($C72+AT71&gt;=0,-XNPV(DebtInv_ReqIRR,$C72:AS72,$C$58:AS$58)*FV(DebtInv_ReqIRR,(AT$58-$C$58)/365,0,-1),AT70)))</f>
        <v>0</v>
      </c>
      <c r="AU72" s="254">
        <f>IF(DebtInv_Pct=0,0,IF($C72+AT71&gt;=0,0,IF($C72+AU71&gt;=0,-XNPV(DebtInv_ReqIRR,$C72:AT72,$C$58:AT$58)*FV(DebtInv_ReqIRR,(AU$58-$C$58)/365,0,-1),AU70)))</f>
        <v>0</v>
      </c>
      <c r="AV72" s="254">
        <f>IF(DebtInv_Pct=0,0,IF($C72+AU71&gt;=0,0,IF($C72+AV71&gt;=0,-XNPV(DebtInv_ReqIRR,$C72:AU72,$C$58:AU$58)*FV(DebtInv_ReqIRR,(AV$58-$C$58)/365,0,-1),AV70)))</f>
        <v>0</v>
      </c>
      <c r="AW72" s="254">
        <f>IF(DebtInv_Pct=0,0,IF($C72+AV71&gt;=0,0,IF($C72+AW71&gt;=0,-XNPV(DebtInv_ReqIRR,$C72:AV72,$C$58:AV$58)*FV(DebtInv_ReqIRR,(AW$58-$C$58)/365,0,-1),AW70)))</f>
        <v>0</v>
      </c>
      <c r="AX72" s="254">
        <f>IF(DebtInv_Pct=0,0,IF($C72+AW71&gt;=0,0,IF($C72+AX71&gt;=0,-XNPV(DebtInv_ReqIRR,$C72:AW72,$C$58:AW$58)*FV(DebtInv_ReqIRR,(AX$58-$C$58)/365,0,-1),AX70)))</f>
        <v>0</v>
      </c>
      <c r="AY72" s="254">
        <f>IF(DebtInv_Pct=0,0,IF($C72+AX71&gt;=0,0,IF($C72+AY71&gt;=0,-XNPV(DebtInv_ReqIRR,$C72:AX72,$C$58:AX$58)*FV(DebtInv_ReqIRR,(AY$58-$C$58)/365,0,-1),AY70)))</f>
        <v>0</v>
      </c>
      <c r="AZ72" s="254">
        <f>IF(DebtInv_Pct=0,0,IF($C72+AY71&gt;=0,0,IF($C72+AZ71&gt;=0,-XNPV(DebtInv_ReqIRR,$C72:AY72,$C$58:AY$58)*FV(DebtInv_ReqIRR,(AZ$58-$C$58)/365,0,-1),AZ70)))</f>
        <v>0</v>
      </c>
      <c r="BA72" s="254">
        <f>IF(DebtInv_Pct=0,0,IF($C72+AZ71&gt;=0,0,IF($C72+BA71&gt;=0,-XNPV(DebtInv_ReqIRR,$C72:AZ72,$C$58:AZ$58)*FV(DebtInv_ReqIRR,(BA$58-$C$58)/365,0,-1),BA70)))</f>
        <v>0</v>
      </c>
      <c r="BB72" s="254">
        <f>IF(DebtInv_Pct=0,0,IF($C72+BA71&gt;=0,0,IF($C72+BB71&gt;=0,-XNPV(DebtInv_ReqIRR,$C72:BA72,$C$58:BA$58)*FV(DebtInv_ReqIRR,(BB$58-$C$58)/365,0,-1),BB70)))</f>
        <v>0</v>
      </c>
      <c r="BC72" s="254">
        <f>IF(DebtInv_Pct=0,0,IF($C72+BB71&gt;=0,0,IF($C72+BC71&gt;=0,-XNPV(DebtInv_ReqIRR,$C72:BB72,$C$58:BB$58)*FV(DebtInv_ReqIRR,(BC$58-$C$58)/365,0,-1),BC70)))</f>
        <v>0</v>
      </c>
      <c r="BD72" s="254">
        <f>IF(DebtInv_Pct=0,0,IF($C72+BC71&gt;=0,0,IF($C72+BD71&gt;=0,-XNPV(DebtInv_ReqIRR,$C72:BC72,$C$58:BC$58)*FV(DebtInv_ReqIRR,(BD$58-$C$58)/365,0,-1),BD70)))</f>
        <v>0</v>
      </c>
      <c r="BE72" s="254">
        <f>IF(DebtInv_Pct=0,0,IF($C72+BD71&gt;=0,0,IF($C72+BE71&gt;=0,-XNPV(DebtInv_ReqIRR,$C72:BD72,$C$58:BD$58)*FV(DebtInv_ReqIRR,(BE$58-$C$58)/365,0,-1),BE70)))</f>
        <v>0</v>
      </c>
      <c r="BF72" s="254">
        <f>IF(DebtInv_Pct=0,0,IF($C72+BE71&gt;=0,0,IF($C72+BF71&gt;=0,-XNPV(DebtInv_ReqIRR,$C72:BE72,$C$58:BE$58)*FV(DebtInv_ReqIRR,(BF$58-$C$58)/365,0,-1),BF70)))</f>
        <v>0</v>
      </c>
      <c r="BG72" s="254">
        <f>IF(DebtInv_Pct=0,0,IF($C72+BF71&gt;=0,0,IF($C72+BG71&gt;=0,-XNPV(DebtInv_ReqIRR,$C72:BF72,$C$58:BF$58)*FV(DebtInv_ReqIRR,(BG$58-$C$58)/365,0,-1),BG70)))</f>
        <v>0</v>
      </c>
      <c r="BH72" s="254">
        <f>IF(DebtInv_Pct=0,0,IF($C72+BG71&gt;=0,0,IF($C72+BH71&gt;=0,-XNPV(DebtInv_ReqIRR,$C72:BG72,$C$58:BG$58)*FV(DebtInv_ReqIRR,(BH$58-$C$58)/365,0,-1),BH70)))</f>
        <v>0</v>
      </c>
      <c r="BI72" s="254">
        <f>IF(DebtInv_Pct=0,0,IF($C72+BH71&gt;=0,0,IF($C72+BI71&gt;=0,-XNPV(DebtInv_ReqIRR,$C72:BH72,$C$58:BH$58)*FV(DebtInv_ReqIRR,(BI$58-$C$58)/365,0,-1),BI70)))</f>
        <v>0</v>
      </c>
      <c r="BJ72" s="254">
        <f>IF(DebtInv_Pct=0,0,IF($C72+BI71&gt;=0,0,IF($C72+BJ71&gt;=0,-XNPV(DebtInv_ReqIRR,$C72:BI72,$C$58:BI$58)*FV(DebtInv_ReqIRR,(BJ$58-$C$58)/365,0,-1),BJ70)))</f>
        <v>0</v>
      </c>
      <c r="BK72" s="254">
        <f>IF(DebtInv_Pct=0,0,IF($C72+BJ71&gt;=0,0,IF($C72+BK71&gt;=0,-XNPV(DebtInv_ReqIRR,$C72:BJ72,$C$58:BJ$58)*FV(DebtInv_ReqIRR,(BK$58-$C$58)/365,0,-1),BK70)))</f>
        <v>0</v>
      </c>
      <c r="BL72" s="254">
        <f>IF(DebtInv_Pct=0,0,IF($C72+BK71&gt;=0,0,IF($C72+BL71&gt;=0,-XNPV(DebtInv_ReqIRR,$C72:BK72,$C$58:BK$58)*FV(DebtInv_ReqIRR,(BL$58-$C$58)/365,0,-1),BL70)))</f>
        <v>0</v>
      </c>
      <c r="BM72" s="254">
        <f>IF(DebtInv_Pct=0,0,IF($C72+BL71&gt;=0,0,IF($C72+BM71&gt;=0,-XNPV(DebtInv_ReqIRR,$C72:BL72,$C$58:BL$58)*FV(DebtInv_ReqIRR,(BM$58-$C$58)/365,0,-1),BM70)))</f>
        <v>0</v>
      </c>
      <c r="BN72" s="254">
        <f>IF(DebtInv_Pct=0,0,IF($C72+BM71&gt;=0,0,IF($C72+BN71&gt;=0,-XNPV(DebtInv_ReqIRR,$C72:BM72,$C$58:BM$58)*FV(DebtInv_ReqIRR,(BN$58-$C$58)/365,0,-1),BN70)))</f>
        <v>0</v>
      </c>
      <c r="BO72" s="254">
        <f>IF(DebtInv_Pct=0,0,IF($C72+BN71&gt;=0,0,IF($C72+BO71&gt;=0,-XNPV(DebtInv_ReqIRR,$C72:BN72,$C$58:BN$58)*FV(DebtInv_ReqIRR,(BO$58-$C$58)/365,0,-1),BO70)))</f>
        <v>0</v>
      </c>
      <c r="BP72" s="254">
        <f>IF(DebtInv_Pct=0,0,IF($C72+BO71&gt;=0,0,IF($C72+BP71&gt;=0,-XNPV(DebtInv_ReqIRR,$C72:BO72,$C$58:BO$58)*FV(DebtInv_ReqIRR,(BP$58-$C$58)/365,0,-1),BP70)))</f>
        <v>0</v>
      </c>
      <c r="BQ72" s="254">
        <f>IF(DebtInv_Pct=0,0,IF($C72+BP71&gt;=0,0,IF($C72+BQ71&gt;=0,-XNPV(DebtInv_ReqIRR,$C72:BP72,$C$58:BP$58)*FV(DebtInv_ReqIRR,(BQ$58-$C$58)/365,0,-1),BQ70)))</f>
        <v>0</v>
      </c>
      <c r="BR72" s="254">
        <f>IF(DebtInv_Pct=0,0,IF($C72+BQ71&gt;=0,0,IF($C72+BR71&gt;=0,-XNPV(DebtInv_ReqIRR,$C72:BQ72,$C$58:BQ$58)*FV(DebtInv_ReqIRR,(BR$58-$C$58)/365,0,-1),BR70)))</f>
        <v>0</v>
      </c>
      <c r="BS72" s="254">
        <f>IF(DebtInv_Pct=0,0,IF($C72+BR71&gt;=0,0,IF($C72+BS71&gt;=0,-XNPV(DebtInv_ReqIRR,$C72:BR72,$C$58:BR$58)*FV(DebtInv_ReqIRR,(BS$58-$C$58)/365,0,-1),BS70)))</f>
        <v>0</v>
      </c>
      <c r="BT72" s="254">
        <f>IF(DebtInv_Pct=0,0,IF($C72+BS71&gt;=0,0,IF($C72+BT71&gt;=0,-XNPV(DebtInv_ReqIRR,$C72:BS72,$C$58:BS$58)*FV(DebtInv_ReqIRR,(BT$58-$C$58)/365,0,-1),BT70)))</f>
        <v>0</v>
      </c>
      <c r="BU72" s="254">
        <f>IF(DebtInv_Pct=0,0,IF($C72+BT71&gt;=0,0,IF($C72+BU71&gt;=0,-XNPV(DebtInv_ReqIRR,$C72:BT72,$C$58:BT$58)*FV(DebtInv_ReqIRR,(BU$58-$C$58)/365,0,-1),BU70)))</f>
        <v>0</v>
      </c>
      <c r="BV72" s="254">
        <f>IF(DebtInv_Pct=0,0,IF($C72+BU71&gt;=0,0,IF($C72+BV71&gt;=0,-XNPV(DebtInv_ReqIRR,$C72:BU72,$C$58:BU$58)*FV(DebtInv_ReqIRR,(BV$58-$C$58)/365,0,-1),BV70)))</f>
        <v>0</v>
      </c>
      <c r="BW72" s="254">
        <f>IF(DebtInv_Pct=0,0,IF($C72+BV71&gt;=0,0,IF($C72+BW71&gt;=0,-XNPV(DebtInv_ReqIRR,$C72:BV72,$C$58:BV$58)*FV(DebtInv_ReqIRR,(BW$58-$C$58)/365,0,-1),BW70)))</f>
        <v>0</v>
      </c>
      <c r="BX72" s="254">
        <f>IF(DebtInv_Pct=0,0,IF($C72+BW71&gt;=0,0,IF($C72+BX71&gt;=0,-XNPV(DebtInv_ReqIRR,$C72:BW72,$C$58:BW$58)*FV(DebtInv_ReqIRR,(BX$58-$C$58)/365,0,-1),BX70)))</f>
        <v>0</v>
      </c>
      <c r="BY72" s="254">
        <f>IF(DebtInv_Pct=0,0,IF($C72+BX71&gt;=0,0,IF($C72+BY71&gt;=0,-XNPV(DebtInv_ReqIRR,$C72:BX72,$C$58:BX$58)*FV(DebtInv_ReqIRR,(BY$58-$C$58)/365,0,-1),BY70)))</f>
        <v>0</v>
      </c>
      <c r="BZ72" s="254">
        <f>IF(DebtInv_Pct=0,0,IF($C72+BY71&gt;=0,0,IF($C72+BZ71&gt;=0,-XNPV(DebtInv_ReqIRR,$C72:BY72,$C$58:BY$58)*FV(DebtInv_ReqIRR,(BZ$58-$C$58)/365,0,-1),BZ70)))</f>
        <v>0</v>
      </c>
      <c r="CA72" s="254">
        <f>IF(DebtInv_Pct=0,0,IF($C72+BZ71&gt;=0,0,IF($C72+CA71&gt;=0,-XNPV(DebtInv_ReqIRR,$C72:BZ72,$C$58:BZ$58)*FV(DebtInv_ReqIRR,(CA$58-$C$58)/365,0,-1),CA70)))</f>
        <v>0</v>
      </c>
      <c r="CB72" s="254">
        <f>IF(DebtInv_Pct=0,0,IF($C72+CA71&gt;=0,0,IF($C72+CB71&gt;=0,-XNPV(DebtInv_ReqIRR,$C72:CA72,$C$58:CA$58)*FV(DebtInv_ReqIRR,(CB$58-$C$58)/365,0,-1),CB70)))</f>
        <v>0</v>
      </c>
      <c r="CC72" s="254">
        <f>IF(DebtInv_Pct=0,0,IF($C72+CB71&gt;=0,0,IF($C72+CC71&gt;=0,-XNPV(DebtInv_ReqIRR,$C72:CB72,$C$58:CB$58)*FV(DebtInv_ReqIRR,(CC$58-$C$58)/365,0,-1),CC70)))</f>
        <v>0</v>
      </c>
      <c r="CD72" s="254">
        <f>IF(DebtInv_Pct=0,0,IF($C72+CC71&gt;=0,0,IF($C72+CD71&gt;=0,-XNPV(DebtInv_ReqIRR,$C72:CC72,$C$58:CC$58)*FV(DebtInv_ReqIRR,(CD$58-$C$58)/365,0,-1),CD70)))</f>
        <v>0</v>
      </c>
      <c r="CE72" s="254">
        <f>IF(DebtInv_Pct=0,0,IF($C72+CD71&gt;=0,0,IF($C72+CE71&gt;=0,-XNPV(DebtInv_ReqIRR,$C72:CD72,$C$58:CD$58)*FV(DebtInv_ReqIRR,(CE$58-$C$58)/365,0,-1),CE70)))</f>
        <v>0</v>
      </c>
      <c r="CF72" s="254">
        <f>IF(DebtInv_Pct=0,0,IF($C72+CE71&gt;=0,0,IF($C72+CF71&gt;=0,-XNPV(DebtInv_ReqIRR,$C72:CE72,$C$58:CE$58)*FV(DebtInv_ReqIRR,(CF$58-$C$58)/365,0,-1),CF70)))</f>
        <v>0</v>
      </c>
      <c r="CG72" s="254">
        <f>IF(DebtInv_Pct=0,0,IF($C72+CF71&gt;=0,0,IF($C72+CG71&gt;=0,-XNPV(DebtInv_ReqIRR,$C72:CF72,$C$58:CF$58)*FV(DebtInv_ReqIRR,(CG$58-$C$58)/365,0,-1),CG70)))</f>
        <v>0</v>
      </c>
      <c r="CH72" s="254">
        <f>IF(DebtInv_Pct=0,0,IF($C72+CG71&gt;=0,0,IF($C72+CH71&gt;=0,-XNPV(DebtInv_ReqIRR,$C72:CG72,$C$58:CG$58)*FV(DebtInv_ReqIRR,(CH$58-$C$58)/365,0,-1),CH70)))</f>
        <v>0</v>
      </c>
      <c r="CI72" s="254">
        <f>IF(DebtInv_Pct=0,0,IF($C72+CH71&gt;=0,0,IF($C72+CI71&gt;=0,-XNPV(DebtInv_ReqIRR,$C72:CH72,$C$58:CH$58)*FV(DebtInv_ReqIRR,(CI$58-$C$58)/365,0,-1),CI70)))</f>
        <v>0</v>
      </c>
      <c r="CJ72" s="254">
        <f>IF(DebtInv_Pct=0,0,IF($C72+CI71&gt;=0,0,IF($C72+CJ71&gt;=0,-XNPV(DebtInv_ReqIRR,$C72:CI72,$C$58:CI$58)*FV(DebtInv_ReqIRR,(CJ$58-$C$58)/365,0,-1),CJ70)))</f>
        <v>0</v>
      </c>
      <c r="CK72" s="254">
        <f>IF(DebtInv_Pct=0,0,IF($C72+CJ71&gt;=0,0,IF($C72+CK71&gt;=0,-XNPV(DebtInv_ReqIRR,$C72:CJ72,$C$58:CJ$58)*FV(DebtInv_ReqIRR,(CK$58-$C$58)/365,0,-1),CK70)))</f>
        <v>0</v>
      </c>
      <c r="CL72" s="254">
        <f>IF(DebtInv_Pct=0,0,IF($C72+CK71&gt;=0,0,IF($C72+CL71&gt;=0,-XNPV(DebtInv_ReqIRR,$C72:CK72,$C$58:CK$58)*FV(DebtInv_ReqIRR,(CL$58-$C$58)/365,0,-1),CL70)))</f>
        <v>0</v>
      </c>
      <c r="CM72" s="254">
        <f>IF(DebtInv_Pct=0,0,IF($C72+CL71&gt;=0,0,IF($C72+CM71&gt;=0,-XNPV(DebtInv_ReqIRR,$C72:CL72,$C$58:CL$58)*FV(DebtInv_ReqIRR,(CM$58-$C$58)/365,0,-1),CM70)))</f>
        <v>0</v>
      </c>
      <c r="CN72" s="254">
        <f>IF(DebtInv_Pct=0,0,IF($C72+CM71&gt;=0,0,IF($C72+CN71&gt;=0,-XNPV(DebtInv_ReqIRR,$C72:CM72,$C$58:CM$58)*FV(DebtInv_ReqIRR,(CN$58-$C$58)/365,0,-1),CN70)))</f>
        <v>0</v>
      </c>
      <c r="CO72" s="254">
        <f>IF(DebtInv_Pct=0,0,IF($C72+CN71&gt;=0,0,IF($C72+CO71&gt;=0,-XNPV(DebtInv_ReqIRR,$C72:CN72,$C$58:CN$58)*FV(DebtInv_ReqIRR,(CO$58-$C$58)/365,0,-1),CO70)))</f>
        <v>0</v>
      </c>
      <c r="CP72" s="254">
        <f>IF(DebtInv_Pct=0,0,IF($C72+CO71&gt;=0,0,IF($C72+CP71&gt;=0,-XNPV(DebtInv_ReqIRR,$C72:CO72,$C$58:CO$58)*FV(DebtInv_ReqIRR,(CP$58-$C$58)/365,0,-1),CP70)))</f>
        <v>0</v>
      </c>
      <c r="CQ72" s="254">
        <f>IF(DebtInv_Pct=0,0,IF($C72+CP71&gt;=0,0,IF($C72+CQ71&gt;=0,-XNPV(DebtInv_ReqIRR,$C72:CP72,$C$58:CP$58)*FV(DebtInv_ReqIRR,(CQ$58-$C$58)/365,0,-1),CQ70)))</f>
        <v>0</v>
      </c>
      <c r="CR72" s="254">
        <f>IF(DebtInv_Pct=0,0,IF($C72+CQ71&gt;=0,0,IF($C72+CR71&gt;=0,-XNPV(DebtInv_ReqIRR,$C72:CQ72,$C$58:CQ$58)*FV(DebtInv_ReqIRR,(CR$58-$C$58)/365,0,-1),CR70)))</f>
        <v>0</v>
      </c>
      <c r="CS72" s="254">
        <f>IF(DebtInv_Pct=0,0,IF($C72+CR71&gt;=0,0,IF($C72+CS71&gt;=0,-XNPV(DebtInv_ReqIRR,$C72:CR72,$C$58:CR$58)*FV(DebtInv_ReqIRR,(CS$58-$C$58)/365,0,-1),CS70)))</f>
        <v>0</v>
      </c>
      <c r="CT72" s="254">
        <f>IF(DebtInv_Pct=0,0,IF($C72+CS71&gt;=0,0,IF($C72+CT71&gt;=0,-XNPV(DebtInv_ReqIRR,$C72:CS72,$C$58:CS$58)*FV(DebtInv_ReqIRR,(CT$58-$C$58)/365,0,-1),CT70)))</f>
        <v>0</v>
      </c>
      <c r="CU72" s="254">
        <f>IF(DebtInv_Pct=0,0,IF($C72+CT71&gt;=0,0,IF($C72+CU71&gt;=0,-XNPV(DebtInv_ReqIRR,$C72:CT72,$C$58:CT$58)*FV(DebtInv_ReqIRR,(CU$58-$C$58)/365,0,-1),CU70)))</f>
        <v>0</v>
      </c>
      <c r="CV72" s="254">
        <f>IF(DebtInv_Pct=0,0,IF($C72+CU71&gt;=0,0,IF($C72+CV71&gt;=0,-XNPV(DebtInv_ReqIRR,$C72:CU72,$C$58:CU$58)*FV(DebtInv_ReqIRR,(CV$58-$C$58)/365,0,-1),CV70)))</f>
        <v>0</v>
      </c>
      <c r="CW72" s="254">
        <f>IF(DebtInv_Pct=0,0,IF($C72+CV71&gt;=0,0,IF($C72+CW71&gt;=0,-XNPV(DebtInv_ReqIRR,$C72:CV72,$C$58:CV$58)*FV(DebtInv_ReqIRR,(CW$58-$C$58)/365,0,-1),CW70)))</f>
        <v>0</v>
      </c>
      <c r="CX72" s="254">
        <f>IF(DebtInv_Pct=0,0,IF($C72+CW71&gt;=0,0,IF($C72+CX71&gt;=0,-XNPV(DebtInv_ReqIRR,$C72:CW72,$C$58:CW$58)*FV(DebtInv_ReqIRR,(CX$58-$C$58)/365,0,-1),CX70)))</f>
        <v>0</v>
      </c>
      <c r="CY72" s="254">
        <f>IF(DebtInv_Pct=0,0,IF($C72+CX71&gt;=0,0,IF($C72+CY71&gt;=0,-XNPV(DebtInv_ReqIRR,$C72:CX72,$C$58:CX$58)*FV(DebtInv_ReqIRR,(CY$58-$C$58)/365,0,-1),CY70)))</f>
        <v>0</v>
      </c>
      <c r="CZ72" s="254">
        <f>IF(DebtInv_Pct=0,0,IF($C72+CY71&gt;=0,0,IF($C72+CZ71&gt;=0,-XNPV(DebtInv_ReqIRR,$C72:CY72,$C$58:CY$58)*FV(DebtInv_ReqIRR,(CZ$58-$C$58)/365,0,-1),CZ70)))</f>
        <v>0</v>
      </c>
      <c r="DA72" s="254">
        <f>IF(DebtInv_Pct=0,0,IF($C72+CZ71&gt;=0,0,IF($C72+DA71&gt;=0,-XNPV(DebtInv_ReqIRR,$C72:CZ72,$C$58:CZ$58)*FV(DebtInv_ReqIRR,(DA$58-$C$58)/365,0,-1),DA70)))</f>
        <v>0</v>
      </c>
      <c r="DB72" s="254">
        <f>IF(DebtInv_Pct=0,0,IF($C72+DA71&gt;=0,0,IF($C72+DB71&gt;=0,-XNPV(DebtInv_ReqIRR,$C72:DA72,$C$58:DA$58)*FV(DebtInv_ReqIRR,(DB$58-$C$58)/365,0,-1),DB70)))</f>
        <v>0</v>
      </c>
      <c r="DC72" s="254">
        <f>IF(DebtInv_Pct=0,0,IF($C72+DB71&gt;=0,0,IF($C72+DC71&gt;=0,-XNPV(DebtInv_ReqIRR,$C72:DB72,$C$58:DB$58)*FV(DebtInv_ReqIRR,(DC$58-$C$58)/365,0,-1),DC70)))</f>
        <v>0</v>
      </c>
      <c r="DD72" s="254">
        <f>IF(DebtInv_Pct=0,0,IF($C72+DC71&gt;=0,0,IF($C72+DD71&gt;=0,-XNPV(DebtInv_ReqIRR,$C72:DC72,$C$58:DC$58)*FV(DebtInv_ReqIRR,(DD$58-$C$58)/365,0,-1),DD70)))</f>
        <v>0</v>
      </c>
      <c r="DE72" s="254">
        <f>IF(DebtInv_Pct=0,0,IF($C72+DD71&gt;=0,0,IF($C72+DE71&gt;=0,-XNPV(DebtInv_ReqIRR,$C72:DD72,$C$58:DD$58)*FV(DebtInv_ReqIRR,(DE$58-$C$58)/365,0,-1),DE70)))</f>
        <v>0</v>
      </c>
      <c r="DF72" s="254">
        <f>IF(DebtInv_Pct=0,0,IF($C72+DE71&gt;=0,0,IF($C72+DF71&gt;=0,-XNPV(DebtInv_ReqIRR,$C72:DE72,$C$58:DE$58)*FV(DebtInv_ReqIRR,(DF$58-$C$58)/365,0,-1),DF70)))</f>
        <v>0</v>
      </c>
      <c r="DG72" s="254">
        <f>IF(DebtInv_Pct=0,0,IF($C72+DF71&gt;=0,0,IF($C72+DG71&gt;=0,-XNPV(DebtInv_ReqIRR,$C72:DF72,$C$58:DF$58)*FV(DebtInv_ReqIRR,(DG$58-$C$58)/365,0,-1),DG70)))</f>
        <v>0</v>
      </c>
      <c r="DH72" s="254">
        <f>IF(DebtInv_Pct=0,0,IF($C72+DG71&gt;=0,0,IF($C72+DH71&gt;=0,-XNPV(DebtInv_ReqIRR,$C72:DG72,$C$58:DG$58)*FV(DebtInv_ReqIRR,(DH$58-$C$58)/365,0,-1),DH70)))</f>
        <v>0</v>
      </c>
      <c r="DI72" s="254">
        <f>IF(DebtInv_Pct=0,0,IF($C72+DH71&gt;=0,0,IF($C72+DI71&gt;=0,-XNPV(DebtInv_ReqIRR,$C72:DH72,$C$58:DH$58)*FV(DebtInv_ReqIRR,(DI$58-$C$58)/365,0,-1),DI70)))</f>
        <v>0</v>
      </c>
      <c r="DJ72" s="254">
        <f>IF(DebtInv_Pct=0,0,IF($C72+DI71&gt;=0,0,IF($C72+DJ71&gt;=0,-XNPV(DebtInv_ReqIRR,$C72:DI72,$C$58:DI$58)*FV(DebtInv_ReqIRR,(DJ$58-$C$58)/365,0,-1),DJ70)))</f>
        <v>0</v>
      </c>
      <c r="DK72" s="254">
        <f>IF(DebtInv_Pct=0,0,IF($C72+DJ71&gt;=0,0,IF($C72+DK71&gt;=0,-XNPV(DebtInv_ReqIRR,$C72:DJ72,$C$58:DJ$58)*FV(DebtInv_ReqIRR,(DK$58-$C$58)/365,0,-1),DK70)))</f>
        <v>0</v>
      </c>
      <c r="DL72" s="254">
        <f>IF(DebtInv_Pct=0,0,IF($C72+DK71&gt;=0,0,IF($C72+DL71&gt;=0,-XNPV(DebtInv_ReqIRR,$C72:DK72,$C$58:DK$58)*FV(DebtInv_ReqIRR,(DL$58-$C$58)/365,0,-1),DL70)))</f>
        <v>0</v>
      </c>
      <c r="DM72" s="254">
        <f>IF(DebtInv_Pct=0,0,IF($C72+DL71&gt;=0,0,IF($C72+DM71&gt;=0,-XNPV(DebtInv_ReqIRR,$C72:DL72,$C$58:DL$58)*FV(DebtInv_ReqIRR,(DM$58-$C$58)/365,0,-1),DM70)))</f>
        <v>0</v>
      </c>
      <c r="DN72" s="254">
        <f>IF(DebtInv_Pct=0,0,IF($C72+DM71&gt;=0,0,IF($C72+DN71&gt;=0,-XNPV(DebtInv_ReqIRR,$C72:DM72,$C$58:DM$58)*FV(DebtInv_ReqIRR,(DN$58-$C$58)/365,0,-1),DN70)))</f>
        <v>0</v>
      </c>
      <c r="DO72" s="254">
        <f>IF(DebtInv_Pct=0,0,IF($C72+DN71&gt;=0,0,IF($C72+DO71&gt;=0,-XNPV(DebtInv_ReqIRR,$C72:DN72,$C$58:DN$58)*FV(DebtInv_ReqIRR,(DO$58-$C$58)/365,0,-1),DO70)))</f>
        <v>0</v>
      </c>
      <c r="DP72" s="254">
        <f>IF(DebtInv_Pct=0,0,IF($C72+DO71&gt;=0,0,IF($C72+DP71&gt;=0,-XNPV(DebtInv_ReqIRR,$C72:DO72,$C$58:DO$58)*FV(DebtInv_ReqIRR,(DP$58-$C$58)/365,0,-1),DP70)))</f>
        <v>0</v>
      </c>
      <c r="DQ72" s="254">
        <f>IF(DebtInv_Pct=0,0,IF($C72+DP71&gt;=0,0,IF($C72+DQ71&gt;=0,-XNPV(DebtInv_ReqIRR,$C72:DP72,$C$58:DP$58)*FV(DebtInv_ReqIRR,(DQ$58-$C$58)/365,0,-1),DQ70)))</f>
        <v>0</v>
      </c>
      <c r="DR72" s="254">
        <f>IF(DebtInv_Pct=0,0,IF($C72+DQ71&gt;=0,0,IF($C72+DR71&gt;=0,-XNPV(DebtInv_ReqIRR,$C72:DQ72,$C$58:DQ$58)*FV(DebtInv_ReqIRR,(DR$58-$C$58)/365,0,-1),DR70)))</f>
        <v>0</v>
      </c>
      <c r="DS72" s="254">
        <f>IF(DebtInv_Pct=0,0,IF($C72+DR71&gt;=0,0,IF($C72+DS71&gt;=0,-XNPV(DebtInv_ReqIRR,$C72:DR72,$C$58:DR$58)*FV(DebtInv_ReqIRR,(DS$58-$C$58)/365,0,-1),DS70)))</f>
        <v>0</v>
      </c>
      <c r="DT72" s="254">
        <f>IF(DebtInv_Pct=0,0,IF($C72+DS71&gt;=0,0,IF($C72+DT71&gt;=0,-XNPV(DebtInv_ReqIRR,$C72:DS72,$C$58:DS$58)*FV(DebtInv_ReqIRR,(DT$58-$C$58)/365,0,-1),DT70)))</f>
        <v>0</v>
      </c>
      <c r="DU72" s="254">
        <f>IF(DebtInv_Pct=0,0,IF($C72+DT71&gt;=0,0,IF($C72+DU71&gt;=0,-XNPV(DebtInv_ReqIRR,$C72:DT72,$C$58:DT$58)*FV(DebtInv_ReqIRR,(DU$58-$C$58)/365,0,-1),DU70)))</f>
        <v>0</v>
      </c>
      <c r="DV72" s="254">
        <f>IF(DebtInv_Pct=0,0,IF($C72+DU71&gt;=0,0,IF($C72+DV71&gt;=0,-XNPV(DebtInv_ReqIRR,$C72:DU72,$C$58:DU$58)*FV(DebtInv_ReqIRR,(DV$58-$C$58)/365,0,-1),DV70)))</f>
        <v>0</v>
      </c>
      <c r="DW72" s="254">
        <f>IF(DebtInv_Pct=0,0,IF($C72+DV71&gt;=0,0,IF($C72+DW71&gt;=0,-XNPV(DebtInv_ReqIRR,$C72:DV72,$C$58:DV$58)*FV(DebtInv_ReqIRR,(DW$58-$C$58)/365,0,-1),DW70)))</f>
        <v>0</v>
      </c>
      <c r="DX72" s="254">
        <f>IF(DebtInv_Pct=0,0,IF($C72+DW71&gt;=0,0,IF($C72+DX71&gt;=0,-XNPV(DebtInv_ReqIRR,$C72:DW72,$C$58:DW$58)*FV(DebtInv_ReqIRR,(DX$58-$C$58)/365,0,-1),DX70)))</f>
        <v>0</v>
      </c>
      <c r="DY72" s="254">
        <f>IF(DebtInv_Pct=0,0,IF($C72+DX71&gt;=0,0,IF($C72+DY71&gt;=0,-XNPV(DebtInv_ReqIRR,$C72:DX72,$C$58:DX$58)*FV(DebtInv_ReqIRR,(DY$58-$C$58)/365,0,-1),DY70)))</f>
        <v>0</v>
      </c>
      <c r="DZ72" s="254">
        <f>IF(DebtInv_Pct=0,0,IF($C72+DY71&gt;=0,0,IF($C72+DZ71&gt;=0,-XNPV(DebtInv_ReqIRR,$C72:DY72,$C$58:DY$58)*FV(DebtInv_ReqIRR,(DZ$58-$C$58)/365,0,-1),DZ70)))</f>
        <v>0</v>
      </c>
      <c r="EA72" s="254">
        <f>IF(DebtInv_Pct=0,0,IF($C72+DZ71&gt;=0,0,IF($C72+EA71&gt;=0,-XNPV(DebtInv_ReqIRR,$C72:DZ72,$C$58:DZ$58)*FV(DebtInv_ReqIRR,(EA$58-$C$58)/365,0,-1),EA70)))</f>
        <v>0</v>
      </c>
      <c r="EB72" s="254">
        <f>IF(DebtInv_Pct=0,0,IF($C72+EA71&gt;=0,0,IF($C72+EB71&gt;=0,-XNPV(DebtInv_ReqIRR,$C72:EA72,$C$58:EA$58)*FV(DebtInv_ReqIRR,(EB$58-$C$58)/365,0,-1),EB70)))</f>
        <v>0</v>
      </c>
      <c r="EC72" s="254">
        <f>IF(DebtInv_Pct=0,0,IF($C72+EB71&gt;=0,0,IF($C72+EC71&gt;=0,-XNPV(DebtInv_ReqIRR,$C72:EB72,$C$58:EB$58)*FV(DebtInv_ReqIRR,(EC$58-$C$58)/365,0,-1),EC70)))</f>
        <v>0</v>
      </c>
      <c r="ED72" s="254">
        <f>IF(DebtInv_Pct=0,0,IF($C72+EC71&gt;=0,0,IF($C72+ED71&gt;=0,-XNPV(DebtInv_ReqIRR,$C72:EC72,$C$58:EC$58)*FV(DebtInv_ReqIRR,(ED$58-$C$58)/365,0,-1),ED70)))</f>
        <v>0</v>
      </c>
      <c r="EE72" s="254">
        <f>IF(DebtInv_Pct=0,0,IF($C72+ED71&gt;=0,0,IF($C72+EE71&gt;=0,-XNPV(DebtInv_ReqIRR,$C72:ED72,$C$58:ED$58)*FV(DebtInv_ReqIRR,(EE$58-$C$58)/365,0,-1),EE70)))</f>
        <v>0</v>
      </c>
      <c r="EF72" s="254">
        <f>IF(DebtInv_Pct=0,0,IF($C72+EE71&gt;=0,0,IF($C72+EF71&gt;=0,-XNPV(DebtInv_ReqIRR,$C72:EE72,$C$58:EE$58)*FV(DebtInv_ReqIRR,(EF$58-$C$58)/365,0,-1),EF70)))</f>
        <v>0</v>
      </c>
      <c r="EG72" s="254">
        <f>IF(DebtInv_Pct=0,0,IF($C72+EF71&gt;=0,0,IF($C72+EG71&gt;=0,-XNPV(DebtInv_ReqIRR,$C72:EF72,$C$58:EF$58)*FV(DebtInv_ReqIRR,(EG$58-$C$58)/365,0,-1),EG70)))</f>
        <v>0</v>
      </c>
      <c r="EH72" s="254">
        <f>IF(DebtInv_Pct=0,0,IF($C72+EG71&gt;=0,0,IF($C72+EH71&gt;=0,-XNPV(DebtInv_ReqIRR,$C72:EG72,$C$58:EG$58)*FV(DebtInv_ReqIRR,(EH$58-$C$58)/365,0,-1),EH70)))</f>
        <v>0</v>
      </c>
      <c r="EI72" s="254">
        <f>IF(DebtInv_Pct=0,0,IF($C72+EH71&gt;=0,0,IF($C72+EI71&gt;=0,-XNPV(DebtInv_ReqIRR,$C72:EH72,$C$58:EH$58)*FV(DebtInv_ReqIRR,(EI$58-$C$58)/365,0,-1),EI70)))</f>
        <v>0</v>
      </c>
      <c r="EJ72" s="254">
        <f>IF(DebtInv_Pct=0,0,IF($C72+EI71&gt;=0,0,IF($C72+EJ71&gt;=0,-XNPV(DebtInv_ReqIRR,$C72:EI72,$C$58:EI$58)*FV(DebtInv_ReqIRR,(EJ$58-$C$58)/365,0,-1),EJ70)))</f>
        <v>0</v>
      </c>
      <c r="EK72" s="254">
        <f>IF(DebtInv_Pct=0,0,IF($C72+EJ71&gt;=0,0,IF($C72+EK71&gt;=0,-XNPV(DebtInv_ReqIRR,$C72:EJ72,$C$58:EJ$58)*FV(DebtInv_ReqIRR,(EK$58-$C$58)/365,0,-1),EK70)))</f>
        <v>0</v>
      </c>
      <c r="EL72" s="254">
        <f>IF(DebtInv_Pct=0,0,IF($C72+EK71&gt;=0,0,IF($C72+EL71&gt;=0,-XNPV(DebtInv_ReqIRR,$C72:EK72,$C$58:EK$58)*FV(DebtInv_ReqIRR,(EL$58-$C$58)/365,0,-1),EL70)))</f>
        <v>0</v>
      </c>
      <c r="EM72" s="254">
        <f>IF(DebtInv_Pct=0,0,IF($C72+EL71&gt;=0,0,IF($C72+EM71&gt;=0,-XNPV(DebtInv_ReqIRR,$C72:EL72,$C$58:EL$58)*FV(DebtInv_ReqIRR,(EM$58-$C$58)/365,0,-1),EM70)))</f>
        <v>0</v>
      </c>
      <c r="EN72" s="254">
        <f>IF(DebtInv_Pct=0,0,IF($C72+EM71&gt;=0,0,IF($C72+EN71&gt;=0,-XNPV(DebtInv_ReqIRR,$C72:EM72,$C$58:EM$58)*FV(DebtInv_ReqIRR,(EN$58-$C$58)/365,0,-1),EN70)))</f>
        <v>0</v>
      </c>
      <c r="EO72" s="254">
        <f>IF(DebtInv_Pct=0,0,IF($C72+EN71&gt;=0,0,IF($C72+EO71&gt;=0,-XNPV(DebtInv_ReqIRR,$C72:EN72,$C$58:EN$58)*FV(DebtInv_ReqIRR,(EO$58-$C$58)/365,0,-1),EO70)))</f>
        <v>0</v>
      </c>
      <c r="EP72" s="254">
        <f>IF(DebtInv_Pct=0,0,IF($C72+EO71&gt;=0,0,IF($C72+EP71&gt;=0,-XNPV(DebtInv_ReqIRR,$C72:EO72,$C$58:EO$58)*FV(DebtInv_ReqIRR,(EP$58-$C$58)/365,0,-1),EP70)))</f>
        <v>0</v>
      </c>
      <c r="EQ72" s="254">
        <f>IF(DebtInv_Pct=0,0,IF($C72+EP71&gt;=0,0,IF($C72+EQ71&gt;=0,-XNPV(DebtInv_ReqIRR,$C72:EP72,$C$58:EP$58)*FV(DebtInv_ReqIRR,(EQ$58-$C$58)/365,0,-1),EQ70)))</f>
        <v>0</v>
      </c>
      <c r="ER72" s="254">
        <f>IF(DebtInv_Pct=0,0,IF($C72+EQ71&gt;=0,0,IF($C72+ER71&gt;=0,-XNPV(DebtInv_ReqIRR,$C72:EQ72,$C$58:EQ$58)*FV(DebtInv_ReqIRR,(ER$58-$C$58)/365,0,-1),ER70)))</f>
        <v>0</v>
      </c>
      <c r="ES72" s="254">
        <f>IF(DebtInv_Pct=0,0,IF($C72+ER71&gt;=0,0,IF($C72+ES71&gt;=0,-XNPV(DebtInv_ReqIRR,$C72:ER72,$C$58:ER$58)*FV(DebtInv_ReqIRR,(ES$58-$C$58)/365,0,-1),ES70)))</f>
        <v>0</v>
      </c>
      <c r="ET72" s="254">
        <f>IF(DebtInv_Pct=0,0,IF($C72+ES71&gt;=0,0,IF($C72+ET71&gt;=0,-XNPV(DebtInv_ReqIRR,$C72:ES72,$C$58:ES$58)*FV(DebtInv_ReqIRR,(ET$58-$C$58)/365,0,-1),ET70)))</f>
        <v>0</v>
      </c>
      <c r="EU72" s="254">
        <f>IF(DebtInv_Pct=0,0,IF($C72+ET71&gt;=0,0,IF($C72+EU71&gt;=0,-XNPV(DebtInv_ReqIRR,$C72:ET72,$C$58:ET$58)*FV(DebtInv_ReqIRR,(EU$58-$C$58)/365,0,-1),EU70)))</f>
        <v>0</v>
      </c>
      <c r="EV72" s="254">
        <f>IF(DebtInv_Pct=0,0,IF($C72+EU71&gt;=0,0,IF($C72+EV71&gt;=0,-XNPV(DebtInv_ReqIRR,$C72:EU72,$C$58:EU$58)*FV(DebtInv_ReqIRR,(EV$58-$C$58)/365,0,-1),EV70)))</f>
        <v>0</v>
      </c>
      <c r="EW72" s="254">
        <f>IF(DebtInv_Pct=0,0,IF($C72+EV71&gt;=0,0,IF($C72+EW71&gt;=0,-XNPV(DebtInv_ReqIRR,$C72:EV72,$C$58:EV$58)*FV(DebtInv_ReqIRR,(EW$58-$C$58)/365,0,-1),EW70)))</f>
        <v>0</v>
      </c>
      <c r="EX72" s="254">
        <f>IF(DebtInv_Pct=0,0,IF($C72+EW71&gt;=0,0,IF($C72+EX71&gt;=0,-XNPV(DebtInv_ReqIRR,$C72:EW72,$C$58:EW$58)*FV(DebtInv_ReqIRR,(EX$58-$C$58)/365,0,-1),EX70)))</f>
        <v>0</v>
      </c>
      <c r="EY72" s="254">
        <f>IF(DebtInv_Pct=0,0,IF($C72+EX71&gt;=0,0,IF($C72+EY71&gt;=0,-XNPV(DebtInv_ReqIRR,$C72:EX72,$C$58:EX$58)*FV(DebtInv_ReqIRR,(EY$58-$C$58)/365,0,-1),EY70)))</f>
        <v>0</v>
      </c>
      <c r="EZ72" s="254">
        <f>IF(DebtInv_Pct=0,0,IF($C72+EY71&gt;=0,0,IF($C72+EZ71&gt;=0,-XNPV(DebtInv_ReqIRR,$C72:EY72,$C$58:EY$58)*FV(DebtInv_ReqIRR,(EZ$58-$C$58)/365,0,-1),EZ70)))</f>
        <v>0</v>
      </c>
      <c r="FA72" s="254">
        <f>IF(DebtInv_Pct=0,0,IF($C72+EZ71&gt;=0,0,IF($C72+FA71&gt;=0,-XNPV(DebtInv_ReqIRR,$C72:EZ72,$C$58:EZ$58)*FV(DebtInv_ReqIRR,(FA$58-$C$58)/365,0,-1),FA70)))</f>
        <v>0</v>
      </c>
      <c r="FB72" s="254">
        <f>IF(DebtInv_Pct=0,0,IF($C72+FA71&gt;=0,0,IF($C72+FB71&gt;=0,-XNPV(DebtInv_ReqIRR,$C72:FA72,$C$58:FA$58)*FV(DebtInv_ReqIRR,(FB$58-$C$58)/365,0,-1),FB70)))</f>
        <v>0</v>
      </c>
      <c r="FC72" s="254">
        <f>IF(DebtInv_Pct=0,0,IF($C72+FB71&gt;=0,0,IF($C72+FC71&gt;=0,-XNPV(DebtInv_ReqIRR,$C72:FB72,$C$58:FB$58)*FV(DebtInv_ReqIRR,(FC$58-$C$58)/365,0,-1),FC70)))</f>
        <v>0</v>
      </c>
      <c r="FD72" s="254">
        <f>IF(DebtInv_Pct=0,0,IF($C72+FC71&gt;=0,0,IF($C72+FD71&gt;=0,-XNPV(DebtInv_ReqIRR,$C72:FC72,$C$58:FC$58)*FV(DebtInv_ReqIRR,(FD$58-$C$58)/365,0,-1),FD70)))</f>
        <v>0</v>
      </c>
      <c r="FE72" s="254">
        <f>IF(DebtInv_Pct=0,0,IF($C72+FD71&gt;=0,0,IF($C72+FE71&gt;=0,-XNPV(DebtInv_ReqIRR,$C72:FD72,$C$58:FD$58)*FV(DebtInv_ReqIRR,(FE$58-$C$58)/365,0,-1),FE70)))</f>
        <v>0</v>
      </c>
      <c r="FF72" s="254">
        <f>IF(DebtInv_Pct=0,0,IF($C72+FE71&gt;=0,0,IF($C72+FF71&gt;=0,-XNPV(DebtInv_ReqIRR,$C72:FE72,$C$58:FE$58)*FV(DebtInv_ReqIRR,(FF$58-$C$58)/365,0,-1),FF70)))</f>
        <v>0</v>
      </c>
      <c r="FG72" s="254">
        <f>IF(DebtInv_Pct=0,0,IF($C72+FF71&gt;=0,0,IF($C72+FG71&gt;=0,-XNPV(DebtInv_ReqIRR,$C72:FF72,$C$58:FF$58)*FV(DebtInv_ReqIRR,(FG$58-$C$58)/365,0,-1),FG70)))</f>
        <v>0</v>
      </c>
      <c r="FH72" s="254">
        <f>IF(DebtInv_Pct=0,0,IF($C72+FG71&gt;=0,0,IF($C72+FH71&gt;=0,-XNPV(DebtInv_ReqIRR,$C72:FG72,$C$58:FG$58)*FV(DebtInv_ReqIRR,(FH$58-$C$58)/365,0,-1),FH70)))</f>
        <v>0</v>
      </c>
      <c r="FI72" s="254">
        <f>IF(DebtInv_Pct=0,0,IF($C72+FH71&gt;=0,0,IF($C72+FI71&gt;=0,-XNPV(DebtInv_ReqIRR,$C72:FH72,$C$58:FH$58)*FV(DebtInv_ReqIRR,(FI$58-$C$58)/365,0,-1),FI70)))</f>
        <v>0</v>
      </c>
      <c r="FJ72" s="254">
        <f>IF(DebtInv_Pct=0,0,IF($C72+FI71&gt;=0,0,IF($C72+FJ71&gt;=0,-XNPV(DebtInv_ReqIRR,$C72:FI72,$C$58:FI$58)*FV(DebtInv_ReqIRR,(FJ$58-$C$58)/365,0,-1),FJ70)))</f>
        <v>0</v>
      </c>
      <c r="FK72" s="254">
        <f>IF(DebtInv_Pct=0,0,IF($C72+FJ71&gt;=0,0,IF($C72+FK71&gt;=0,-XNPV(DebtInv_ReqIRR,$C72:FJ72,$C$58:FJ$58)*FV(DebtInv_ReqIRR,(FK$58-$C$58)/365,0,-1),FK70)))</f>
        <v>0</v>
      </c>
      <c r="FL72" s="254">
        <f>IF(DebtInv_Pct=0,0,IF($C72+FK71&gt;=0,0,IF($C72+FL71&gt;=0,-XNPV(DebtInv_ReqIRR,$C72:FK72,$C$58:FK$58)*FV(DebtInv_ReqIRR,(FL$58-$C$58)/365,0,-1),FL70)))</f>
        <v>0</v>
      </c>
      <c r="FM72" s="254">
        <f>IF(DebtInv_Pct=0,0,IF($C72+FL71&gt;=0,0,IF($C72+FM71&gt;=0,-XNPV(DebtInv_ReqIRR,$C72:FL72,$C$58:FL$58)*FV(DebtInv_ReqIRR,(FM$58-$C$58)/365,0,-1),FM70)))</f>
        <v>0</v>
      </c>
      <c r="FN72" s="254">
        <f>IF(DebtInv_Pct=0,0,IF($C72+FM71&gt;=0,0,IF($C72+FN71&gt;=0,-XNPV(DebtInv_ReqIRR,$C72:FM72,$C$58:FM$58)*FV(DebtInv_ReqIRR,(FN$58-$C$58)/365,0,-1),FN70)))</f>
        <v>0</v>
      </c>
      <c r="FO72" s="254">
        <f>IF(DebtInv_Pct=0,0,IF($C72+FN71&gt;=0,0,IF($C72+FO71&gt;=0,-XNPV(DebtInv_ReqIRR,$C72:FN72,$C$58:FN$58)*FV(DebtInv_ReqIRR,(FO$58-$C$58)/365,0,-1),FO70)))</f>
        <v>0</v>
      </c>
      <c r="FP72" s="254">
        <f>IF(DebtInv_Pct=0,0,IF($C72+FO71&gt;=0,0,IF($C72+FP71&gt;=0,-XNPV(DebtInv_ReqIRR,$C72:FO72,$C$58:FO$58)*FV(DebtInv_ReqIRR,(FP$58-$C$58)/365,0,-1),FP70)))</f>
        <v>0</v>
      </c>
      <c r="FQ72" s="254">
        <f>IF(DebtInv_Pct=0,0,IF($C72+FP71&gt;=0,0,IF($C72+FQ71&gt;=0,-XNPV(DebtInv_ReqIRR,$C72:FP72,$C$58:FP$58)*FV(DebtInv_ReqIRR,(FQ$58-$C$58)/365,0,-1),FQ70)))</f>
        <v>0</v>
      </c>
      <c r="FR72" s="254">
        <f>IF(DebtInv_Pct=0,0,IF($C72+FQ71&gt;=0,0,IF($C72+FR71&gt;=0,-XNPV(DebtInv_ReqIRR,$C72:FQ72,$C$58:FQ$58)*FV(DebtInv_ReqIRR,(FR$58-$C$58)/365,0,-1),FR70)))</f>
        <v>0</v>
      </c>
      <c r="FS72" s="254">
        <f>IF(DebtInv_Pct=0,0,IF($C72+FR71&gt;=0,0,IF($C72+FS71&gt;=0,-XNPV(DebtInv_ReqIRR,$C72:FR72,$C$58:FR$58)*FV(DebtInv_ReqIRR,(FS$58-$C$58)/365,0,-1),FS70)))</f>
        <v>0</v>
      </c>
      <c r="FT72" s="254">
        <f>IF(DebtInv_Pct=0,0,IF($C72+FS71&gt;=0,0,IF($C72+FT71&gt;=0,-XNPV(DebtInv_ReqIRR,$C72:FS72,$C$58:FS$58)*FV(DebtInv_ReqIRR,(FT$58-$C$58)/365,0,-1),FT70)))</f>
        <v>0</v>
      </c>
      <c r="FU72" s="254">
        <f>IF(DebtInv_Pct=0,0,IF($C72+FT71&gt;=0,0,IF($C72+FU71&gt;=0,-XNPV(DebtInv_ReqIRR,$C72:FT72,$C$58:FT$58)*FV(DebtInv_ReqIRR,(FU$58-$C$58)/365,0,-1),FU70)))</f>
        <v>0</v>
      </c>
      <c r="FV72" s="254">
        <f>IF(DebtInv_Pct=0,0,IF($C72+FU71&gt;=0,0,IF($C72+FV71&gt;=0,-XNPV(DebtInv_ReqIRR,$C72:FU72,$C$58:FU$58)*FV(DebtInv_ReqIRR,(FV$58-$C$58)/365,0,-1),FV70)))</f>
        <v>0</v>
      </c>
      <c r="FW72" s="254">
        <f>IF(DebtInv_Pct=0,0,IF($C72+FV71&gt;=0,0,IF($C72+FW71&gt;=0,-XNPV(DebtInv_ReqIRR,$C72:FV72,$C$58:FV$58)*FV(DebtInv_ReqIRR,(FW$58-$C$58)/365,0,-1),FW70)))</f>
        <v>0</v>
      </c>
      <c r="FX72" s="254">
        <f>IF(DebtInv_Pct=0,0,IF($C72+FW71&gt;=0,0,IF($C72+FX71&gt;=0,-XNPV(DebtInv_ReqIRR,$C72:FW72,$C$58:FW$58)*FV(DebtInv_ReqIRR,(FX$58-$C$58)/365,0,-1),FX70)))</f>
        <v>0</v>
      </c>
      <c r="FY72" s="254">
        <f>IF(DebtInv_Pct=0,0,IF($C72+FX71&gt;=0,0,IF($C72+FY71&gt;=0,-XNPV(DebtInv_ReqIRR,$C72:FX72,$C$58:FX$58)*FV(DebtInv_ReqIRR,(FY$58-$C$58)/365,0,-1),FY70)))</f>
        <v>0</v>
      </c>
      <c r="FZ72" s="254">
        <f>IF(DebtInv_Pct=0,0,IF($C72+FY71&gt;=0,0,IF($C72+FZ71&gt;=0,-XNPV(DebtInv_ReqIRR,$C72:FY72,$C$58:FY$58)*FV(DebtInv_ReqIRR,(FZ$58-$C$58)/365,0,-1),FZ70)))</f>
        <v>0</v>
      </c>
      <c r="GA72" s="268">
        <f>IF(DebtInv_Pct=0,0,IF($C72+FZ71&gt;=0,0,IF($C72+GA71&gt;=0,-XNPV(DebtInv_ReqIRR,$C72:FZ72,$C$58:FZ$58)*FV(DebtInv_ReqIRR,(GA$58-$C$58)/365,0,-1),GA70)))</f>
        <v>0</v>
      </c>
    </row>
    <row r="73" spans="1:183" x14ac:dyDescent="0.15">
      <c r="A73" s="279"/>
      <c r="C73" s="269"/>
      <c r="D73" s="254"/>
      <c r="E73" s="254"/>
      <c r="F73" s="254"/>
      <c r="G73" s="254"/>
      <c r="H73" s="254"/>
      <c r="I73" s="254"/>
      <c r="J73" s="254"/>
      <c r="K73" s="254"/>
      <c r="L73" s="254"/>
      <c r="M73" s="254"/>
      <c r="N73" s="254"/>
      <c r="O73" s="254"/>
      <c r="P73" s="254"/>
      <c r="Q73" s="254"/>
      <c r="R73" s="254"/>
      <c r="S73" s="254"/>
      <c r="T73" s="254"/>
      <c r="U73" s="254"/>
      <c r="V73" s="254"/>
      <c r="W73" s="254"/>
      <c r="X73" s="254"/>
      <c r="Y73" s="254"/>
      <c r="Z73" s="254"/>
      <c r="AA73" s="254"/>
      <c r="AB73" s="254"/>
      <c r="AC73" s="254"/>
      <c r="AD73" s="254"/>
      <c r="AE73" s="254"/>
      <c r="AF73" s="254"/>
      <c r="AG73" s="254"/>
      <c r="AH73" s="254"/>
      <c r="AI73" s="254"/>
      <c r="AJ73" s="254"/>
      <c r="AK73" s="254"/>
      <c r="AL73" s="254"/>
      <c r="AM73" s="254"/>
      <c r="AN73" s="254"/>
      <c r="AO73" s="254"/>
      <c r="AP73" s="254"/>
      <c r="AQ73" s="254"/>
      <c r="AR73" s="254"/>
      <c r="AS73" s="254"/>
      <c r="AT73" s="254"/>
      <c r="AU73" s="254"/>
      <c r="AV73" s="254"/>
      <c r="AW73" s="254"/>
      <c r="AX73" s="254"/>
      <c r="AY73" s="254"/>
      <c r="AZ73" s="254"/>
      <c r="BA73" s="254"/>
      <c r="BB73" s="254"/>
      <c r="BC73" s="254"/>
      <c r="BD73" s="254"/>
      <c r="BE73" s="254"/>
      <c r="BF73" s="254"/>
      <c r="BG73" s="254"/>
      <c r="BH73" s="254"/>
      <c r="BI73" s="254"/>
      <c r="BJ73" s="254"/>
      <c r="BK73" s="254"/>
      <c r="BL73" s="254"/>
      <c r="BM73" s="254"/>
      <c r="BN73" s="254"/>
      <c r="BO73" s="254"/>
      <c r="BP73" s="254"/>
      <c r="BQ73" s="254"/>
      <c r="BR73" s="254"/>
      <c r="BS73" s="254"/>
      <c r="BT73" s="254"/>
      <c r="BU73" s="254"/>
      <c r="BV73" s="254"/>
      <c r="BW73" s="254"/>
      <c r="BX73" s="254"/>
      <c r="BY73" s="254"/>
      <c r="BZ73" s="254"/>
      <c r="CA73" s="254"/>
      <c r="CB73" s="254"/>
      <c r="CC73" s="254"/>
      <c r="CD73" s="254"/>
      <c r="CE73" s="254"/>
      <c r="CF73" s="254"/>
      <c r="CG73" s="254"/>
      <c r="CH73" s="254"/>
      <c r="CI73" s="254"/>
      <c r="CJ73" s="254"/>
      <c r="CK73" s="254"/>
      <c r="CL73" s="254"/>
      <c r="CM73" s="254"/>
      <c r="CN73" s="254"/>
      <c r="CO73" s="254"/>
      <c r="CP73" s="254"/>
      <c r="CQ73" s="254"/>
      <c r="CR73" s="254"/>
      <c r="CS73" s="254"/>
      <c r="CT73" s="254"/>
      <c r="CU73" s="254"/>
      <c r="CV73" s="254"/>
      <c r="CW73" s="254"/>
      <c r="CX73" s="254"/>
      <c r="CY73" s="254"/>
      <c r="CZ73" s="254"/>
      <c r="DA73" s="254"/>
      <c r="DB73" s="254"/>
      <c r="DC73" s="254"/>
      <c r="DD73" s="254"/>
      <c r="DE73" s="254"/>
      <c r="DF73" s="254"/>
      <c r="DG73" s="254"/>
      <c r="DH73" s="254"/>
      <c r="DI73" s="254"/>
      <c r="DJ73" s="254"/>
      <c r="DK73" s="254"/>
      <c r="DL73" s="254"/>
      <c r="DM73" s="254"/>
      <c r="DN73" s="254"/>
      <c r="DO73" s="254"/>
      <c r="DP73" s="254"/>
      <c r="DQ73" s="254"/>
      <c r="DR73" s="254"/>
      <c r="DS73" s="254"/>
      <c r="DT73" s="254"/>
      <c r="DU73" s="254"/>
      <c r="DV73" s="254"/>
      <c r="DW73" s="254"/>
      <c r="DX73" s="254"/>
      <c r="DY73" s="254"/>
      <c r="DZ73" s="254"/>
      <c r="EA73" s="254"/>
      <c r="EB73" s="254"/>
      <c r="EC73" s="254"/>
      <c r="ED73" s="254"/>
      <c r="EE73" s="254"/>
      <c r="EF73" s="254"/>
      <c r="EG73" s="254"/>
      <c r="EH73" s="254"/>
      <c r="EI73" s="254"/>
      <c r="EJ73" s="254"/>
      <c r="EK73" s="254"/>
      <c r="EL73" s="254"/>
      <c r="EM73" s="254"/>
      <c r="EN73" s="254"/>
      <c r="EO73" s="254"/>
      <c r="EP73" s="254"/>
      <c r="EQ73" s="254"/>
      <c r="ER73" s="254"/>
      <c r="ES73" s="254"/>
      <c r="ET73" s="254"/>
      <c r="EU73" s="254"/>
      <c r="EV73" s="254"/>
      <c r="EW73" s="254"/>
      <c r="EX73" s="254"/>
      <c r="EY73" s="254"/>
      <c r="EZ73" s="254"/>
      <c r="FA73" s="254"/>
      <c r="FB73" s="254"/>
      <c r="FC73" s="254"/>
      <c r="FD73" s="254"/>
      <c r="FE73" s="254"/>
      <c r="FF73" s="254"/>
      <c r="FG73" s="254"/>
      <c r="FH73" s="254"/>
      <c r="FI73" s="254"/>
      <c r="FJ73" s="254"/>
      <c r="FK73" s="254"/>
      <c r="FL73" s="254"/>
      <c r="FM73" s="254"/>
      <c r="FN73" s="254"/>
      <c r="FO73" s="254"/>
      <c r="FP73" s="254"/>
      <c r="FQ73" s="254"/>
      <c r="FR73" s="254"/>
      <c r="FS73" s="254"/>
      <c r="FT73" s="254"/>
      <c r="FU73" s="254"/>
      <c r="FV73" s="254"/>
      <c r="FW73" s="254"/>
      <c r="FX73" s="254"/>
      <c r="FY73" s="254"/>
      <c r="FZ73" s="254"/>
      <c r="GA73" s="268"/>
    </row>
    <row r="74" spans="1:183" x14ac:dyDescent="0.15">
      <c r="A74" s="279" t="s">
        <v>875</v>
      </c>
      <c r="C74" s="269">
        <f>-C13+C26</f>
        <v>0</v>
      </c>
      <c r="D74" s="254">
        <f t="shared" ref="D74:AI74" ca="1" si="51">D64-D68-D72</f>
        <v>0</v>
      </c>
      <c r="E74" s="254">
        <f t="shared" ca="1" si="51"/>
        <v>0</v>
      </c>
      <c r="F74" s="254">
        <f t="shared" ca="1" si="51"/>
        <v>0</v>
      </c>
      <c r="G74" s="254">
        <f t="shared" ca="1" si="51"/>
        <v>0</v>
      </c>
      <c r="H74" s="254">
        <f t="shared" ca="1" si="51"/>
        <v>0</v>
      </c>
      <c r="I74" s="254">
        <f t="shared" ca="1" si="51"/>
        <v>0</v>
      </c>
      <c r="J74" s="254">
        <f t="shared" ca="1" si="51"/>
        <v>0</v>
      </c>
      <c r="K74" s="254">
        <f t="shared" ca="1" si="51"/>
        <v>0</v>
      </c>
      <c r="L74" s="254">
        <f t="shared" ca="1" si="51"/>
        <v>0</v>
      </c>
      <c r="M74" s="254">
        <f t="shared" ca="1" si="51"/>
        <v>0</v>
      </c>
      <c r="N74" s="254">
        <f t="shared" ca="1" si="51"/>
        <v>0</v>
      </c>
      <c r="O74" s="254">
        <f t="shared" ca="1" si="51"/>
        <v>0</v>
      </c>
      <c r="P74" s="254">
        <f t="shared" ca="1" si="51"/>
        <v>0</v>
      </c>
      <c r="Q74" s="254">
        <f t="shared" ca="1" si="51"/>
        <v>0</v>
      </c>
      <c r="R74" s="254">
        <f t="shared" ca="1" si="51"/>
        <v>0</v>
      </c>
      <c r="S74" s="254">
        <f t="shared" ca="1" si="51"/>
        <v>0</v>
      </c>
      <c r="T74" s="254">
        <f t="shared" ca="1" si="51"/>
        <v>0</v>
      </c>
      <c r="U74" s="254">
        <f t="shared" ca="1" si="51"/>
        <v>0</v>
      </c>
      <c r="V74" s="254">
        <f t="shared" ca="1" si="51"/>
        <v>0</v>
      </c>
      <c r="W74" s="254">
        <f t="shared" ca="1" si="51"/>
        <v>0</v>
      </c>
      <c r="X74" s="254">
        <f t="shared" ca="1" si="51"/>
        <v>0</v>
      </c>
      <c r="Y74" s="254">
        <f t="shared" ca="1" si="51"/>
        <v>0</v>
      </c>
      <c r="Z74" s="254">
        <f t="shared" ca="1" si="51"/>
        <v>0</v>
      </c>
      <c r="AA74" s="254">
        <f t="shared" ca="1" si="51"/>
        <v>0</v>
      </c>
      <c r="AB74" s="254">
        <f t="shared" ca="1" si="51"/>
        <v>0</v>
      </c>
      <c r="AC74" s="254">
        <f t="shared" ca="1" si="51"/>
        <v>0</v>
      </c>
      <c r="AD74" s="254">
        <f t="shared" ca="1" si="51"/>
        <v>0</v>
      </c>
      <c r="AE74" s="254">
        <f t="shared" ca="1" si="51"/>
        <v>0</v>
      </c>
      <c r="AF74" s="254">
        <f t="shared" ca="1" si="51"/>
        <v>0</v>
      </c>
      <c r="AG74" s="254">
        <f t="shared" ca="1" si="51"/>
        <v>0</v>
      </c>
      <c r="AH74" s="254">
        <f t="shared" ca="1" si="51"/>
        <v>0</v>
      </c>
      <c r="AI74" s="254">
        <f t="shared" ca="1" si="51"/>
        <v>0</v>
      </c>
      <c r="AJ74" s="254">
        <f t="shared" ref="AJ74:BO74" ca="1" si="52">AJ64-AJ68-AJ72</f>
        <v>0</v>
      </c>
      <c r="AK74" s="254">
        <f t="shared" ca="1" si="52"/>
        <v>0</v>
      </c>
      <c r="AL74" s="254">
        <f t="shared" ca="1" si="52"/>
        <v>0</v>
      </c>
      <c r="AM74" s="254">
        <f t="shared" ca="1" si="52"/>
        <v>0</v>
      </c>
      <c r="AN74" s="254">
        <f t="shared" ca="1" si="52"/>
        <v>0</v>
      </c>
      <c r="AO74" s="254">
        <f t="shared" ca="1" si="52"/>
        <v>0</v>
      </c>
      <c r="AP74" s="254">
        <f t="shared" ca="1" si="52"/>
        <v>0</v>
      </c>
      <c r="AQ74" s="254">
        <f t="shared" ca="1" si="52"/>
        <v>0</v>
      </c>
      <c r="AR74" s="254">
        <f t="shared" ca="1" si="52"/>
        <v>0</v>
      </c>
      <c r="AS74" s="254">
        <f t="shared" ca="1" si="52"/>
        <v>0</v>
      </c>
      <c r="AT74" s="254">
        <f t="shared" ca="1" si="52"/>
        <v>0</v>
      </c>
      <c r="AU74" s="254">
        <f t="shared" ca="1" si="52"/>
        <v>0</v>
      </c>
      <c r="AV74" s="254">
        <f t="shared" ca="1" si="52"/>
        <v>0</v>
      </c>
      <c r="AW74" s="254">
        <f t="shared" ca="1" si="52"/>
        <v>0</v>
      </c>
      <c r="AX74" s="254">
        <f t="shared" ca="1" si="52"/>
        <v>0</v>
      </c>
      <c r="AY74" s="254">
        <f t="shared" ca="1" si="52"/>
        <v>0</v>
      </c>
      <c r="AZ74" s="254">
        <f t="shared" ca="1" si="52"/>
        <v>0</v>
      </c>
      <c r="BA74" s="254">
        <f t="shared" ca="1" si="52"/>
        <v>0</v>
      </c>
      <c r="BB74" s="254">
        <f t="shared" ca="1" si="52"/>
        <v>0</v>
      </c>
      <c r="BC74" s="254">
        <f t="shared" ca="1" si="52"/>
        <v>0</v>
      </c>
      <c r="BD74" s="254">
        <f t="shared" ca="1" si="52"/>
        <v>0</v>
      </c>
      <c r="BE74" s="254">
        <f t="shared" ca="1" si="52"/>
        <v>0</v>
      </c>
      <c r="BF74" s="254">
        <f t="shared" ca="1" si="52"/>
        <v>0</v>
      </c>
      <c r="BG74" s="254">
        <f t="shared" ca="1" si="52"/>
        <v>0</v>
      </c>
      <c r="BH74" s="254">
        <f t="shared" ca="1" si="52"/>
        <v>0</v>
      </c>
      <c r="BI74" s="254">
        <f t="shared" ca="1" si="52"/>
        <v>0</v>
      </c>
      <c r="BJ74" s="254">
        <f t="shared" ca="1" si="52"/>
        <v>0</v>
      </c>
      <c r="BK74" s="254">
        <f t="shared" ca="1" si="52"/>
        <v>0</v>
      </c>
      <c r="BL74" s="254">
        <f t="shared" ca="1" si="52"/>
        <v>0</v>
      </c>
      <c r="BM74" s="254">
        <f t="shared" ca="1" si="52"/>
        <v>0</v>
      </c>
      <c r="BN74" s="254">
        <f t="shared" ca="1" si="52"/>
        <v>0</v>
      </c>
      <c r="BO74" s="254">
        <f t="shared" ca="1" si="52"/>
        <v>0</v>
      </c>
      <c r="BP74" s="254">
        <f t="shared" ref="BP74:CU74" ca="1" si="53">BP64-BP68-BP72</f>
        <v>0</v>
      </c>
      <c r="BQ74" s="254">
        <f t="shared" ca="1" si="53"/>
        <v>0</v>
      </c>
      <c r="BR74" s="254">
        <f t="shared" ca="1" si="53"/>
        <v>0</v>
      </c>
      <c r="BS74" s="254">
        <f t="shared" ca="1" si="53"/>
        <v>0</v>
      </c>
      <c r="BT74" s="254">
        <f t="shared" ca="1" si="53"/>
        <v>0</v>
      </c>
      <c r="BU74" s="254">
        <f t="shared" ca="1" si="53"/>
        <v>0</v>
      </c>
      <c r="BV74" s="254">
        <f t="shared" ca="1" si="53"/>
        <v>0</v>
      </c>
      <c r="BW74" s="254">
        <f t="shared" ca="1" si="53"/>
        <v>0</v>
      </c>
      <c r="BX74" s="254">
        <f t="shared" ca="1" si="53"/>
        <v>0</v>
      </c>
      <c r="BY74" s="254">
        <f t="shared" ca="1" si="53"/>
        <v>0</v>
      </c>
      <c r="BZ74" s="254">
        <f t="shared" ca="1" si="53"/>
        <v>0</v>
      </c>
      <c r="CA74" s="254">
        <f t="shared" ca="1" si="53"/>
        <v>0</v>
      </c>
      <c r="CB74" s="254">
        <f t="shared" ca="1" si="53"/>
        <v>0</v>
      </c>
      <c r="CC74" s="254">
        <f t="shared" ca="1" si="53"/>
        <v>0</v>
      </c>
      <c r="CD74" s="254">
        <f t="shared" ca="1" si="53"/>
        <v>0</v>
      </c>
      <c r="CE74" s="254">
        <f t="shared" ca="1" si="53"/>
        <v>0</v>
      </c>
      <c r="CF74" s="254">
        <f t="shared" ca="1" si="53"/>
        <v>0</v>
      </c>
      <c r="CG74" s="254">
        <f t="shared" ca="1" si="53"/>
        <v>0</v>
      </c>
      <c r="CH74" s="254">
        <f t="shared" ca="1" si="53"/>
        <v>0</v>
      </c>
      <c r="CI74" s="254">
        <f t="shared" ca="1" si="53"/>
        <v>0</v>
      </c>
      <c r="CJ74" s="254">
        <f t="shared" ca="1" si="53"/>
        <v>0</v>
      </c>
      <c r="CK74" s="254">
        <f t="shared" ca="1" si="53"/>
        <v>0</v>
      </c>
      <c r="CL74" s="254">
        <f t="shared" ca="1" si="53"/>
        <v>0</v>
      </c>
      <c r="CM74" s="254">
        <f t="shared" ca="1" si="53"/>
        <v>0</v>
      </c>
      <c r="CN74" s="254">
        <f t="shared" ca="1" si="53"/>
        <v>0</v>
      </c>
      <c r="CO74" s="254">
        <f t="shared" ca="1" si="53"/>
        <v>0</v>
      </c>
      <c r="CP74" s="254">
        <f t="shared" ca="1" si="53"/>
        <v>0</v>
      </c>
      <c r="CQ74" s="254">
        <f t="shared" ca="1" si="53"/>
        <v>0</v>
      </c>
      <c r="CR74" s="254">
        <f t="shared" ca="1" si="53"/>
        <v>0</v>
      </c>
      <c r="CS74" s="254">
        <f t="shared" ca="1" si="53"/>
        <v>0</v>
      </c>
      <c r="CT74" s="254">
        <f t="shared" ca="1" si="53"/>
        <v>0</v>
      </c>
      <c r="CU74" s="254">
        <f t="shared" ca="1" si="53"/>
        <v>0</v>
      </c>
      <c r="CV74" s="254">
        <f t="shared" ref="CV74:EA74" ca="1" si="54">CV64-CV68-CV72</f>
        <v>0</v>
      </c>
      <c r="CW74" s="254">
        <f t="shared" ca="1" si="54"/>
        <v>0</v>
      </c>
      <c r="CX74" s="254">
        <f t="shared" ca="1" si="54"/>
        <v>0</v>
      </c>
      <c r="CY74" s="254">
        <f t="shared" ca="1" si="54"/>
        <v>0</v>
      </c>
      <c r="CZ74" s="254">
        <f t="shared" ca="1" si="54"/>
        <v>0</v>
      </c>
      <c r="DA74" s="254">
        <f t="shared" ca="1" si="54"/>
        <v>0</v>
      </c>
      <c r="DB74" s="254">
        <f t="shared" ca="1" si="54"/>
        <v>0</v>
      </c>
      <c r="DC74" s="254">
        <f t="shared" ca="1" si="54"/>
        <v>0</v>
      </c>
      <c r="DD74" s="254">
        <f t="shared" ca="1" si="54"/>
        <v>0</v>
      </c>
      <c r="DE74" s="254">
        <f t="shared" ca="1" si="54"/>
        <v>1177.5324592827446</v>
      </c>
      <c r="DF74" s="254">
        <f t="shared" ca="1" si="54"/>
        <v>2554.3864585022843</v>
      </c>
      <c r="DG74" s="254">
        <f t="shared" ca="1" si="54"/>
        <v>2554.3864585022843</v>
      </c>
      <c r="DH74" s="254">
        <f t="shared" ca="1" si="54"/>
        <v>2643.1228071377914</v>
      </c>
      <c r="DI74" s="254">
        <f t="shared" ca="1" si="54"/>
        <v>2643.1228071377914</v>
      </c>
      <c r="DJ74" s="254">
        <f t="shared" ca="1" si="54"/>
        <v>2643.1228071377914</v>
      </c>
      <c r="DK74" s="254">
        <f t="shared" ca="1" si="54"/>
        <v>2643.1228071377914</v>
      </c>
      <c r="DL74" s="254">
        <f t="shared" ca="1" si="54"/>
        <v>2643.1228071377914</v>
      </c>
      <c r="DM74" s="254">
        <f t="shared" ca="1" si="54"/>
        <v>2643.1228071377914</v>
      </c>
      <c r="DN74" s="254">
        <f t="shared" ca="1" si="54"/>
        <v>2643.1228071377914</v>
      </c>
      <c r="DO74" s="254">
        <f t="shared" ca="1" si="54"/>
        <v>2643.1228071377914</v>
      </c>
      <c r="DP74" s="254">
        <f t="shared" ca="1" si="54"/>
        <v>2643.1228071377914</v>
      </c>
      <c r="DQ74" s="254">
        <f t="shared" ca="1" si="54"/>
        <v>2643.1228071377914</v>
      </c>
      <c r="DR74" s="254">
        <f t="shared" ca="1" si="54"/>
        <v>2643.1228071377914</v>
      </c>
      <c r="DS74" s="254">
        <f t="shared" ca="1" si="54"/>
        <v>2643.1228071377914</v>
      </c>
      <c r="DT74" s="254">
        <f t="shared" ca="1" si="54"/>
        <v>2734.9382408790584</v>
      </c>
      <c r="DU74" s="254">
        <f t="shared" ca="1" si="54"/>
        <v>2734.9382408790584</v>
      </c>
      <c r="DV74" s="254">
        <f t="shared" ca="1" si="54"/>
        <v>2734.9382408790584</v>
      </c>
      <c r="DW74" s="254">
        <f t="shared" ca="1" si="54"/>
        <v>2734.9382408790584</v>
      </c>
      <c r="DX74" s="254">
        <f t="shared" ca="1" si="54"/>
        <v>2734.9382408790584</v>
      </c>
      <c r="DY74" s="254">
        <f t="shared" ca="1" si="54"/>
        <v>2734.9382408790584</v>
      </c>
      <c r="DZ74" s="254">
        <f t="shared" ca="1" si="54"/>
        <v>2734.9382408790584</v>
      </c>
      <c r="EA74" s="254">
        <f t="shared" ca="1" si="54"/>
        <v>2734.9382408790584</v>
      </c>
      <c r="EB74" s="254">
        <f t="shared" ref="EB74:FG74" ca="1" si="55">EB64-EB68-EB72</f>
        <v>2734.9382408790584</v>
      </c>
      <c r="EC74" s="254">
        <f t="shared" ca="1" si="55"/>
        <v>2734.9382408790584</v>
      </c>
      <c r="ED74" s="254">
        <f t="shared" ca="1" si="55"/>
        <v>2734.9382408790584</v>
      </c>
      <c r="EE74" s="254">
        <f t="shared" ca="1" si="55"/>
        <v>2734.9382408790584</v>
      </c>
      <c r="EF74" s="254">
        <f t="shared" ca="1" si="55"/>
        <v>836.35884323616972</v>
      </c>
      <c r="EG74" s="254">
        <f t="shared" ca="1" si="55"/>
        <v>836.35884323616972</v>
      </c>
      <c r="EH74" s="254">
        <f t="shared" ca="1" si="55"/>
        <v>836.35884323616972</v>
      </c>
      <c r="EI74" s="254">
        <f t="shared" ca="1" si="55"/>
        <v>836.35884323616972</v>
      </c>
      <c r="EJ74" s="254">
        <f t="shared" ca="1" si="55"/>
        <v>836.35884323616972</v>
      </c>
      <c r="EK74" s="254">
        <f t="shared" ca="1" si="55"/>
        <v>836.35884323616972</v>
      </c>
      <c r="EL74" s="254">
        <f t="shared" ca="1" si="55"/>
        <v>836.35884323616972</v>
      </c>
      <c r="EM74" s="254">
        <f t="shared" ca="1" si="55"/>
        <v>836.35884323616972</v>
      </c>
      <c r="EN74" s="254">
        <f t="shared" ca="1" si="55"/>
        <v>836.35884323616972</v>
      </c>
      <c r="EO74" s="254">
        <f t="shared" ca="1" si="55"/>
        <v>836.35884323616972</v>
      </c>
      <c r="EP74" s="254">
        <f t="shared" ca="1" si="55"/>
        <v>836.35884323616972</v>
      </c>
      <c r="EQ74" s="254">
        <f t="shared" ca="1" si="55"/>
        <v>836.35884323616972</v>
      </c>
      <c r="ER74" s="254">
        <f t="shared" ca="1" si="55"/>
        <v>2928.2368574762058</v>
      </c>
      <c r="ES74" s="254">
        <f t="shared" ca="1" si="55"/>
        <v>2928.2368574762058</v>
      </c>
      <c r="ET74" s="254">
        <f t="shared" ca="1" si="55"/>
        <v>2928.2368574762058</v>
      </c>
      <c r="EU74" s="254">
        <f t="shared" ca="1" si="55"/>
        <v>2928.2368574762058</v>
      </c>
      <c r="EV74" s="254">
        <f t="shared" ca="1" si="55"/>
        <v>2928.2368574762058</v>
      </c>
      <c r="EW74" s="254">
        <f t="shared" ca="1" si="55"/>
        <v>2928.2368574762058</v>
      </c>
      <c r="EX74" s="254">
        <f t="shared" ca="1" si="55"/>
        <v>2928.2368574762058</v>
      </c>
      <c r="EY74" s="254">
        <f t="shared" ca="1" si="55"/>
        <v>2928.2368574762058</v>
      </c>
      <c r="EZ74" s="254">
        <f t="shared" ca="1" si="55"/>
        <v>2928.2368574762058</v>
      </c>
      <c r="FA74" s="254">
        <f t="shared" ca="1" si="55"/>
        <v>2928.2368574762058</v>
      </c>
      <c r="FB74" s="254">
        <f t="shared" ca="1" si="55"/>
        <v>2928.2368574762058</v>
      </c>
      <c r="FC74" s="254">
        <f t="shared" ca="1" si="55"/>
        <v>2928.2368574762058</v>
      </c>
      <c r="FD74" s="254">
        <f t="shared" ca="1" si="55"/>
        <v>3029.944644281321</v>
      </c>
      <c r="FE74" s="254">
        <f t="shared" ca="1" si="55"/>
        <v>3029.944644281321</v>
      </c>
      <c r="FF74" s="254">
        <f t="shared" ca="1" si="55"/>
        <v>3029.944644281321</v>
      </c>
      <c r="FG74" s="254">
        <f t="shared" ca="1" si="55"/>
        <v>3029.944644281321</v>
      </c>
      <c r="FH74" s="254">
        <f t="shared" ref="FH74:GA74" ca="1" si="56">FH64-FH68-FH72</f>
        <v>3029.944644281321</v>
      </c>
      <c r="FI74" s="254">
        <f t="shared" ca="1" si="56"/>
        <v>3029.944644281321</v>
      </c>
      <c r="FJ74" s="254">
        <f t="shared" ca="1" si="56"/>
        <v>3029.944644281321</v>
      </c>
      <c r="FK74" s="254">
        <f t="shared" ca="1" si="56"/>
        <v>3029.944644281321</v>
      </c>
      <c r="FL74" s="254">
        <f t="shared" ca="1" si="56"/>
        <v>3029.944644281321</v>
      </c>
      <c r="FM74" s="254">
        <f t="shared" ca="1" si="56"/>
        <v>3029.944644281321</v>
      </c>
      <c r="FN74" s="254">
        <f t="shared" ca="1" si="56"/>
        <v>3029.944644281321</v>
      </c>
      <c r="FO74" s="254">
        <f t="shared" ca="1" si="56"/>
        <v>3029.944644281321</v>
      </c>
      <c r="FP74" s="254">
        <f t="shared" ca="1" si="56"/>
        <v>3135.1809834963528</v>
      </c>
      <c r="FQ74" s="254">
        <f t="shared" ca="1" si="56"/>
        <v>3135.1809834963528</v>
      </c>
      <c r="FR74" s="254">
        <f t="shared" ca="1" si="56"/>
        <v>3135.1809834963528</v>
      </c>
      <c r="FS74" s="254">
        <f t="shared" ca="1" si="56"/>
        <v>3135.1809834963528</v>
      </c>
      <c r="FT74" s="254">
        <f t="shared" ca="1" si="56"/>
        <v>3135.1809834963528</v>
      </c>
      <c r="FU74" s="254">
        <f t="shared" ca="1" si="56"/>
        <v>3135.1809834963528</v>
      </c>
      <c r="FV74" s="254">
        <f t="shared" ca="1" si="56"/>
        <v>3135.1809834963528</v>
      </c>
      <c r="FW74" s="254">
        <f t="shared" ca="1" si="56"/>
        <v>3135.1809834963528</v>
      </c>
      <c r="FX74" s="254">
        <f t="shared" ca="1" si="56"/>
        <v>3135.1809834963528</v>
      </c>
      <c r="FY74" s="254">
        <f t="shared" ca="1" si="56"/>
        <v>3135.1809834963528</v>
      </c>
      <c r="FZ74" s="254">
        <f t="shared" ca="1" si="56"/>
        <v>3135.1809834963528</v>
      </c>
      <c r="GA74" s="268">
        <f t="shared" ca="1" si="56"/>
        <v>3235.1809834963528</v>
      </c>
    </row>
    <row r="75" spans="1:183" x14ac:dyDescent="0.15">
      <c r="A75" s="279" t="s">
        <v>878</v>
      </c>
      <c r="C75" s="269"/>
      <c r="D75" s="254">
        <f t="shared" ref="D75:AI75" si="57">-INDEX($D$51:$R$51,1,MATCH(D$57,$D$43:$R$43,0))/12+(IF(AND(LOWER(InclUpfront_OM)="false",D56/12=Cust_LeaseTermYears),AddToFinalPymt_OM,0))</f>
        <v>97.5</v>
      </c>
      <c r="E75" s="254">
        <f t="shared" si="57"/>
        <v>97.5</v>
      </c>
      <c r="F75" s="254">
        <f t="shared" si="57"/>
        <v>97.5</v>
      </c>
      <c r="G75" s="254">
        <f t="shared" si="57"/>
        <v>97.5</v>
      </c>
      <c r="H75" s="254">
        <f t="shared" si="57"/>
        <v>97.5</v>
      </c>
      <c r="I75" s="254">
        <f t="shared" si="57"/>
        <v>97.5</v>
      </c>
      <c r="J75" s="254">
        <f t="shared" si="57"/>
        <v>97.5</v>
      </c>
      <c r="K75" s="254">
        <f t="shared" si="57"/>
        <v>97.5</v>
      </c>
      <c r="L75" s="254">
        <f t="shared" si="57"/>
        <v>97.5</v>
      </c>
      <c r="M75" s="254">
        <f t="shared" si="57"/>
        <v>97.5</v>
      </c>
      <c r="N75" s="254">
        <f t="shared" si="57"/>
        <v>97.5</v>
      </c>
      <c r="O75" s="254">
        <f t="shared" si="57"/>
        <v>97.5</v>
      </c>
      <c r="P75" s="254">
        <f t="shared" si="57"/>
        <v>101.39999999999999</v>
      </c>
      <c r="Q75" s="254">
        <f t="shared" si="57"/>
        <v>101.39999999999999</v>
      </c>
      <c r="R75" s="254">
        <f t="shared" si="57"/>
        <v>101.39999999999999</v>
      </c>
      <c r="S75" s="254">
        <f t="shared" si="57"/>
        <v>101.39999999999999</v>
      </c>
      <c r="T75" s="254">
        <f t="shared" si="57"/>
        <v>101.39999999999999</v>
      </c>
      <c r="U75" s="254">
        <f t="shared" si="57"/>
        <v>101.39999999999999</v>
      </c>
      <c r="V75" s="254">
        <f t="shared" si="57"/>
        <v>101.39999999999999</v>
      </c>
      <c r="W75" s="254">
        <f t="shared" si="57"/>
        <v>101.39999999999999</v>
      </c>
      <c r="X75" s="254">
        <f t="shared" si="57"/>
        <v>101.39999999999999</v>
      </c>
      <c r="Y75" s="254">
        <f t="shared" si="57"/>
        <v>101.39999999999999</v>
      </c>
      <c r="Z75" s="254">
        <f t="shared" si="57"/>
        <v>101.39999999999999</v>
      </c>
      <c r="AA75" s="254">
        <f t="shared" si="57"/>
        <v>101.39999999999999</v>
      </c>
      <c r="AB75" s="254">
        <f t="shared" si="57"/>
        <v>105.456</v>
      </c>
      <c r="AC75" s="254">
        <f t="shared" si="57"/>
        <v>105.456</v>
      </c>
      <c r="AD75" s="254">
        <f t="shared" si="57"/>
        <v>105.456</v>
      </c>
      <c r="AE75" s="254">
        <f t="shared" si="57"/>
        <v>105.456</v>
      </c>
      <c r="AF75" s="254">
        <f t="shared" si="57"/>
        <v>105.456</v>
      </c>
      <c r="AG75" s="254">
        <f t="shared" si="57"/>
        <v>105.456</v>
      </c>
      <c r="AH75" s="254">
        <f t="shared" si="57"/>
        <v>105.456</v>
      </c>
      <c r="AI75" s="254">
        <f t="shared" si="57"/>
        <v>105.456</v>
      </c>
      <c r="AJ75" s="254">
        <f t="shared" ref="AJ75:BO75" si="58">-INDEX($D$51:$R$51,1,MATCH(AJ$57,$D$43:$R$43,0))/12+(IF(AND(LOWER(InclUpfront_OM)="false",AJ56/12=Cust_LeaseTermYears),AddToFinalPymt_OM,0))</f>
        <v>105.456</v>
      </c>
      <c r="AK75" s="254">
        <f t="shared" si="58"/>
        <v>105.456</v>
      </c>
      <c r="AL75" s="254">
        <f t="shared" si="58"/>
        <v>105.456</v>
      </c>
      <c r="AM75" s="254">
        <f t="shared" si="58"/>
        <v>105.456</v>
      </c>
      <c r="AN75" s="254">
        <f t="shared" si="58"/>
        <v>109.67424</v>
      </c>
      <c r="AO75" s="254">
        <f t="shared" si="58"/>
        <v>109.67424</v>
      </c>
      <c r="AP75" s="254">
        <f t="shared" si="58"/>
        <v>109.67424</v>
      </c>
      <c r="AQ75" s="254">
        <f t="shared" si="58"/>
        <v>109.67424</v>
      </c>
      <c r="AR75" s="254">
        <f t="shared" si="58"/>
        <v>109.67424</v>
      </c>
      <c r="AS75" s="254">
        <f t="shared" si="58"/>
        <v>109.67424</v>
      </c>
      <c r="AT75" s="254">
        <f t="shared" si="58"/>
        <v>109.67424</v>
      </c>
      <c r="AU75" s="254">
        <f t="shared" si="58"/>
        <v>109.67424</v>
      </c>
      <c r="AV75" s="254">
        <f t="shared" si="58"/>
        <v>109.67424</v>
      </c>
      <c r="AW75" s="254">
        <f t="shared" si="58"/>
        <v>109.67424</v>
      </c>
      <c r="AX75" s="254">
        <f t="shared" si="58"/>
        <v>109.67424</v>
      </c>
      <c r="AY75" s="254">
        <f t="shared" si="58"/>
        <v>109.67424</v>
      </c>
      <c r="AZ75" s="254">
        <f t="shared" si="58"/>
        <v>114.0612096</v>
      </c>
      <c r="BA75" s="254">
        <f t="shared" si="58"/>
        <v>114.0612096</v>
      </c>
      <c r="BB75" s="254">
        <f t="shared" si="58"/>
        <v>114.0612096</v>
      </c>
      <c r="BC75" s="254">
        <f t="shared" si="58"/>
        <v>114.0612096</v>
      </c>
      <c r="BD75" s="254">
        <f t="shared" si="58"/>
        <v>114.0612096</v>
      </c>
      <c r="BE75" s="254">
        <f t="shared" si="58"/>
        <v>114.0612096</v>
      </c>
      <c r="BF75" s="254">
        <f t="shared" si="58"/>
        <v>114.0612096</v>
      </c>
      <c r="BG75" s="254">
        <f t="shared" si="58"/>
        <v>114.0612096</v>
      </c>
      <c r="BH75" s="254">
        <f t="shared" si="58"/>
        <v>114.0612096</v>
      </c>
      <c r="BI75" s="254">
        <f t="shared" si="58"/>
        <v>114.0612096</v>
      </c>
      <c r="BJ75" s="254">
        <f t="shared" si="58"/>
        <v>114.0612096</v>
      </c>
      <c r="BK75" s="254">
        <f t="shared" si="58"/>
        <v>114.0612096</v>
      </c>
      <c r="BL75" s="254">
        <f t="shared" si="58"/>
        <v>118.62365798400002</v>
      </c>
      <c r="BM75" s="254">
        <f t="shared" si="58"/>
        <v>118.62365798400002</v>
      </c>
      <c r="BN75" s="254">
        <f t="shared" si="58"/>
        <v>118.62365798400002</v>
      </c>
      <c r="BO75" s="254">
        <f t="shared" si="58"/>
        <v>118.62365798400002</v>
      </c>
      <c r="BP75" s="254">
        <f t="shared" ref="BP75:CU75" si="59">-INDEX($D$51:$R$51,1,MATCH(BP$57,$D$43:$R$43,0))/12+(IF(AND(LOWER(InclUpfront_OM)="false",BP56/12=Cust_LeaseTermYears),AddToFinalPymt_OM,0))</f>
        <v>118.62365798400002</v>
      </c>
      <c r="BQ75" s="254">
        <f t="shared" si="59"/>
        <v>118.62365798400002</v>
      </c>
      <c r="BR75" s="254">
        <f t="shared" si="59"/>
        <v>118.62365798400002</v>
      </c>
      <c r="BS75" s="254">
        <f t="shared" si="59"/>
        <v>118.62365798400002</v>
      </c>
      <c r="BT75" s="254">
        <f t="shared" si="59"/>
        <v>118.62365798400002</v>
      </c>
      <c r="BU75" s="254">
        <f t="shared" si="59"/>
        <v>118.62365798400002</v>
      </c>
      <c r="BV75" s="254">
        <f t="shared" si="59"/>
        <v>118.62365798400002</v>
      </c>
      <c r="BW75" s="254">
        <f t="shared" si="59"/>
        <v>118.62365798400002</v>
      </c>
      <c r="BX75" s="254">
        <f t="shared" si="59"/>
        <v>123.36860430336002</v>
      </c>
      <c r="BY75" s="254">
        <f t="shared" si="59"/>
        <v>123.36860430336002</v>
      </c>
      <c r="BZ75" s="254">
        <f t="shared" si="59"/>
        <v>123.36860430336002</v>
      </c>
      <c r="CA75" s="254">
        <f t="shared" si="59"/>
        <v>123.36860430336002</v>
      </c>
      <c r="CB75" s="254">
        <f t="shared" si="59"/>
        <v>123.36860430336002</v>
      </c>
      <c r="CC75" s="254">
        <f t="shared" si="59"/>
        <v>123.36860430336002</v>
      </c>
      <c r="CD75" s="254">
        <f t="shared" si="59"/>
        <v>123.36860430336002</v>
      </c>
      <c r="CE75" s="254">
        <f t="shared" si="59"/>
        <v>123.36860430336002</v>
      </c>
      <c r="CF75" s="254">
        <f t="shared" si="59"/>
        <v>123.36860430336002</v>
      </c>
      <c r="CG75" s="254">
        <f t="shared" si="59"/>
        <v>123.36860430336002</v>
      </c>
      <c r="CH75" s="254">
        <f t="shared" si="59"/>
        <v>123.36860430336002</v>
      </c>
      <c r="CI75" s="254">
        <f t="shared" si="59"/>
        <v>123.36860430336002</v>
      </c>
      <c r="CJ75" s="254">
        <f t="shared" si="59"/>
        <v>128.3033484754944</v>
      </c>
      <c r="CK75" s="254">
        <f t="shared" si="59"/>
        <v>128.3033484754944</v>
      </c>
      <c r="CL75" s="254">
        <f t="shared" si="59"/>
        <v>128.3033484754944</v>
      </c>
      <c r="CM75" s="254">
        <f t="shared" si="59"/>
        <v>128.3033484754944</v>
      </c>
      <c r="CN75" s="254">
        <f t="shared" si="59"/>
        <v>128.3033484754944</v>
      </c>
      <c r="CO75" s="254">
        <f t="shared" si="59"/>
        <v>128.3033484754944</v>
      </c>
      <c r="CP75" s="254">
        <f t="shared" si="59"/>
        <v>128.3033484754944</v>
      </c>
      <c r="CQ75" s="254">
        <f t="shared" si="59"/>
        <v>128.3033484754944</v>
      </c>
      <c r="CR75" s="254">
        <f t="shared" si="59"/>
        <v>128.3033484754944</v>
      </c>
      <c r="CS75" s="254">
        <f t="shared" si="59"/>
        <v>128.3033484754944</v>
      </c>
      <c r="CT75" s="254">
        <f t="shared" si="59"/>
        <v>128.3033484754944</v>
      </c>
      <c r="CU75" s="254">
        <f t="shared" si="59"/>
        <v>128.3033484754944</v>
      </c>
      <c r="CV75" s="254">
        <f t="shared" ref="CV75:EA75" si="60">-INDEX($D$51:$R$51,1,MATCH(CV$57,$D$43:$R$43,0))/12+(IF(AND(LOWER(InclUpfront_OM)="false",CV56/12=Cust_LeaseTermYears),AddToFinalPymt_OM,0))</f>
        <v>133.43548241451421</v>
      </c>
      <c r="CW75" s="254">
        <f t="shared" si="60"/>
        <v>133.43548241451421</v>
      </c>
      <c r="CX75" s="254">
        <f t="shared" si="60"/>
        <v>133.43548241451421</v>
      </c>
      <c r="CY75" s="254">
        <f t="shared" si="60"/>
        <v>133.43548241451421</v>
      </c>
      <c r="CZ75" s="254">
        <f t="shared" si="60"/>
        <v>133.43548241451421</v>
      </c>
      <c r="DA75" s="254">
        <f t="shared" si="60"/>
        <v>133.43548241451421</v>
      </c>
      <c r="DB75" s="254">
        <f t="shared" si="60"/>
        <v>133.43548241451421</v>
      </c>
      <c r="DC75" s="254">
        <f t="shared" si="60"/>
        <v>133.43548241451421</v>
      </c>
      <c r="DD75" s="254">
        <f t="shared" si="60"/>
        <v>133.43548241451421</v>
      </c>
      <c r="DE75" s="254">
        <f t="shared" si="60"/>
        <v>133.43548241451421</v>
      </c>
      <c r="DF75" s="254">
        <f t="shared" si="60"/>
        <v>133.43548241451421</v>
      </c>
      <c r="DG75" s="254">
        <f t="shared" si="60"/>
        <v>133.43548241451421</v>
      </c>
      <c r="DH75" s="254">
        <f t="shared" si="60"/>
        <v>138.77290171109476</v>
      </c>
      <c r="DI75" s="254">
        <f t="shared" si="60"/>
        <v>138.77290171109476</v>
      </c>
      <c r="DJ75" s="254">
        <f t="shared" si="60"/>
        <v>138.77290171109476</v>
      </c>
      <c r="DK75" s="254">
        <f t="shared" si="60"/>
        <v>138.77290171109476</v>
      </c>
      <c r="DL75" s="254">
        <f t="shared" si="60"/>
        <v>138.77290171109476</v>
      </c>
      <c r="DM75" s="254">
        <f t="shared" si="60"/>
        <v>138.77290171109476</v>
      </c>
      <c r="DN75" s="254">
        <f t="shared" si="60"/>
        <v>138.77290171109476</v>
      </c>
      <c r="DO75" s="254">
        <f t="shared" si="60"/>
        <v>138.77290171109476</v>
      </c>
      <c r="DP75" s="254">
        <f t="shared" si="60"/>
        <v>138.77290171109476</v>
      </c>
      <c r="DQ75" s="254">
        <f t="shared" si="60"/>
        <v>138.77290171109476</v>
      </c>
      <c r="DR75" s="254">
        <f t="shared" si="60"/>
        <v>138.77290171109476</v>
      </c>
      <c r="DS75" s="254">
        <f t="shared" si="60"/>
        <v>138.77290171109476</v>
      </c>
      <c r="DT75" s="254">
        <f t="shared" si="60"/>
        <v>144.32381777953856</v>
      </c>
      <c r="DU75" s="254">
        <f t="shared" si="60"/>
        <v>144.32381777953856</v>
      </c>
      <c r="DV75" s="254">
        <f t="shared" si="60"/>
        <v>144.32381777953856</v>
      </c>
      <c r="DW75" s="254">
        <f t="shared" si="60"/>
        <v>144.32381777953856</v>
      </c>
      <c r="DX75" s="254">
        <f t="shared" si="60"/>
        <v>144.32381777953856</v>
      </c>
      <c r="DY75" s="254">
        <f t="shared" si="60"/>
        <v>144.32381777953856</v>
      </c>
      <c r="DZ75" s="254">
        <f t="shared" si="60"/>
        <v>144.32381777953856</v>
      </c>
      <c r="EA75" s="254">
        <f t="shared" si="60"/>
        <v>144.32381777953856</v>
      </c>
      <c r="EB75" s="254">
        <f t="shared" ref="EB75:FG75" si="61">-INDEX($D$51:$R$51,1,MATCH(EB$57,$D$43:$R$43,0))/12+(IF(AND(LOWER(InclUpfront_OM)="false",EB56/12=Cust_LeaseTermYears),AddToFinalPymt_OM,0))</f>
        <v>144.32381777953856</v>
      </c>
      <c r="EC75" s="254">
        <f t="shared" si="61"/>
        <v>144.32381777953856</v>
      </c>
      <c r="ED75" s="254">
        <f t="shared" si="61"/>
        <v>144.32381777953856</v>
      </c>
      <c r="EE75" s="254">
        <f t="shared" si="61"/>
        <v>144.32381777953856</v>
      </c>
      <c r="EF75" s="254">
        <f t="shared" si="61"/>
        <v>2143.6773874754776</v>
      </c>
      <c r="EG75" s="254">
        <f t="shared" si="61"/>
        <v>2143.6773874754776</v>
      </c>
      <c r="EH75" s="254">
        <f t="shared" si="61"/>
        <v>2143.6773874754776</v>
      </c>
      <c r="EI75" s="254">
        <f t="shared" si="61"/>
        <v>2143.6773874754776</v>
      </c>
      <c r="EJ75" s="254">
        <f t="shared" si="61"/>
        <v>2143.6773874754776</v>
      </c>
      <c r="EK75" s="254">
        <f t="shared" si="61"/>
        <v>2143.6773874754776</v>
      </c>
      <c r="EL75" s="254">
        <f t="shared" si="61"/>
        <v>2143.6773874754776</v>
      </c>
      <c r="EM75" s="254">
        <f t="shared" si="61"/>
        <v>2143.6773874754776</v>
      </c>
      <c r="EN75" s="254">
        <f t="shared" si="61"/>
        <v>2143.6773874754776</v>
      </c>
      <c r="EO75" s="254">
        <f t="shared" si="61"/>
        <v>2143.6773874754776</v>
      </c>
      <c r="EP75" s="254">
        <f t="shared" si="61"/>
        <v>2143.6773874754776</v>
      </c>
      <c r="EQ75" s="254">
        <f t="shared" si="61"/>
        <v>2143.6773874754776</v>
      </c>
      <c r="ER75" s="254">
        <f t="shared" si="61"/>
        <v>156.10064131034892</v>
      </c>
      <c r="ES75" s="254">
        <f t="shared" si="61"/>
        <v>156.10064131034892</v>
      </c>
      <c r="ET75" s="254">
        <f t="shared" si="61"/>
        <v>156.10064131034892</v>
      </c>
      <c r="EU75" s="254">
        <f t="shared" si="61"/>
        <v>156.10064131034892</v>
      </c>
      <c r="EV75" s="254">
        <f t="shared" si="61"/>
        <v>156.10064131034892</v>
      </c>
      <c r="EW75" s="254">
        <f t="shared" si="61"/>
        <v>156.10064131034892</v>
      </c>
      <c r="EX75" s="254">
        <f t="shared" si="61"/>
        <v>156.10064131034892</v>
      </c>
      <c r="EY75" s="254">
        <f t="shared" si="61"/>
        <v>156.10064131034892</v>
      </c>
      <c r="EZ75" s="254">
        <f t="shared" si="61"/>
        <v>156.10064131034892</v>
      </c>
      <c r="FA75" s="254">
        <f t="shared" si="61"/>
        <v>156.10064131034892</v>
      </c>
      <c r="FB75" s="254">
        <f t="shared" si="61"/>
        <v>156.10064131034892</v>
      </c>
      <c r="FC75" s="254">
        <f t="shared" si="61"/>
        <v>156.10064131034892</v>
      </c>
      <c r="FD75" s="254">
        <f t="shared" si="61"/>
        <v>162.34466696276289</v>
      </c>
      <c r="FE75" s="254">
        <f t="shared" si="61"/>
        <v>162.34466696276289</v>
      </c>
      <c r="FF75" s="254">
        <f t="shared" si="61"/>
        <v>162.34466696276289</v>
      </c>
      <c r="FG75" s="254">
        <f t="shared" si="61"/>
        <v>162.34466696276289</v>
      </c>
      <c r="FH75" s="254">
        <f t="shared" ref="FH75:GA75" si="62">-INDEX($D$51:$R$51,1,MATCH(FH$57,$D$43:$R$43,0))/12+(IF(AND(LOWER(InclUpfront_OM)="false",FH56/12=Cust_LeaseTermYears),AddToFinalPymt_OM,0))</f>
        <v>162.34466696276289</v>
      </c>
      <c r="FI75" s="254">
        <f t="shared" si="62"/>
        <v>162.34466696276289</v>
      </c>
      <c r="FJ75" s="254">
        <f t="shared" si="62"/>
        <v>162.34466696276289</v>
      </c>
      <c r="FK75" s="254">
        <f t="shared" si="62"/>
        <v>162.34466696276289</v>
      </c>
      <c r="FL75" s="254">
        <f t="shared" si="62"/>
        <v>162.34466696276289</v>
      </c>
      <c r="FM75" s="254">
        <f t="shared" si="62"/>
        <v>162.34466696276289</v>
      </c>
      <c r="FN75" s="254">
        <f t="shared" si="62"/>
        <v>162.34466696276289</v>
      </c>
      <c r="FO75" s="254">
        <f t="shared" si="62"/>
        <v>162.34466696276289</v>
      </c>
      <c r="FP75" s="254">
        <f t="shared" si="62"/>
        <v>168.83845364127339</v>
      </c>
      <c r="FQ75" s="254">
        <f t="shared" si="62"/>
        <v>168.83845364127339</v>
      </c>
      <c r="FR75" s="254">
        <f t="shared" si="62"/>
        <v>168.83845364127339</v>
      </c>
      <c r="FS75" s="254">
        <f t="shared" si="62"/>
        <v>168.83845364127339</v>
      </c>
      <c r="FT75" s="254">
        <f t="shared" si="62"/>
        <v>168.83845364127339</v>
      </c>
      <c r="FU75" s="254">
        <f t="shared" si="62"/>
        <v>168.83845364127339</v>
      </c>
      <c r="FV75" s="254">
        <f t="shared" si="62"/>
        <v>168.83845364127339</v>
      </c>
      <c r="FW75" s="254">
        <f t="shared" si="62"/>
        <v>168.83845364127339</v>
      </c>
      <c r="FX75" s="254">
        <f t="shared" si="62"/>
        <v>168.83845364127339</v>
      </c>
      <c r="FY75" s="254">
        <f t="shared" si="62"/>
        <v>168.83845364127339</v>
      </c>
      <c r="FZ75" s="254">
        <f t="shared" si="62"/>
        <v>168.83845364127339</v>
      </c>
      <c r="GA75" s="268">
        <f t="shared" si="62"/>
        <v>168.83845364127339</v>
      </c>
    </row>
    <row r="76" spans="1:183" x14ac:dyDescent="0.15">
      <c r="A76" s="279" t="s">
        <v>877</v>
      </c>
      <c r="C76" s="269"/>
      <c r="D76" s="254">
        <f t="shared" ref="D76:AI76" si="63">INDEX($D$40:$R$40,1,MATCH(D$57,$D$36:$R$36,0))/12*OpExpenseAsPctOfCost</f>
        <v>-48.75</v>
      </c>
      <c r="E76" s="254">
        <f t="shared" si="63"/>
        <v>-48.75</v>
      </c>
      <c r="F76" s="254">
        <f t="shared" si="63"/>
        <v>-48.75</v>
      </c>
      <c r="G76" s="254">
        <f t="shared" si="63"/>
        <v>-48.75</v>
      </c>
      <c r="H76" s="254">
        <f t="shared" si="63"/>
        <v>-48.75</v>
      </c>
      <c r="I76" s="254">
        <f t="shared" si="63"/>
        <v>-48.75</v>
      </c>
      <c r="J76" s="254">
        <f t="shared" si="63"/>
        <v>-48.75</v>
      </c>
      <c r="K76" s="254">
        <f t="shared" si="63"/>
        <v>-48.75</v>
      </c>
      <c r="L76" s="254">
        <f t="shared" si="63"/>
        <v>-48.75</v>
      </c>
      <c r="M76" s="254">
        <f t="shared" si="63"/>
        <v>-48.75</v>
      </c>
      <c r="N76" s="254">
        <f t="shared" si="63"/>
        <v>-48.75</v>
      </c>
      <c r="O76" s="254">
        <f t="shared" si="63"/>
        <v>-48.75</v>
      </c>
      <c r="P76" s="254">
        <f t="shared" si="63"/>
        <v>-50.699999999999996</v>
      </c>
      <c r="Q76" s="254">
        <f t="shared" si="63"/>
        <v>-50.699999999999996</v>
      </c>
      <c r="R76" s="254">
        <f t="shared" si="63"/>
        <v>-50.699999999999996</v>
      </c>
      <c r="S76" s="254">
        <f t="shared" si="63"/>
        <v>-50.699999999999996</v>
      </c>
      <c r="T76" s="254">
        <f t="shared" si="63"/>
        <v>-50.699999999999996</v>
      </c>
      <c r="U76" s="254">
        <f t="shared" si="63"/>
        <v>-50.699999999999996</v>
      </c>
      <c r="V76" s="254">
        <f t="shared" si="63"/>
        <v>-50.699999999999996</v>
      </c>
      <c r="W76" s="254">
        <f t="shared" si="63"/>
        <v>-50.699999999999996</v>
      </c>
      <c r="X76" s="254">
        <f t="shared" si="63"/>
        <v>-50.699999999999996</v>
      </c>
      <c r="Y76" s="254">
        <f t="shared" si="63"/>
        <v>-50.699999999999996</v>
      </c>
      <c r="Z76" s="254">
        <f t="shared" si="63"/>
        <v>-50.699999999999996</v>
      </c>
      <c r="AA76" s="254">
        <f t="shared" si="63"/>
        <v>-50.699999999999996</v>
      </c>
      <c r="AB76" s="254">
        <f t="shared" si="63"/>
        <v>-52.728000000000002</v>
      </c>
      <c r="AC76" s="254">
        <f t="shared" si="63"/>
        <v>-52.728000000000002</v>
      </c>
      <c r="AD76" s="254">
        <f t="shared" si="63"/>
        <v>-52.728000000000002</v>
      </c>
      <c r="AE76" s="254">
        <f t="shared" si="63"/>
        <v>-52.728000000000002</v>
      </c>
      <c r="AF76" s="254">
        <f t="shared" si="63"/>
        <v>-52.728000000000002</v>
      </c>
      <c r="AG76" s="254">
        <f t="shared" si="63"/>
        <v>-52.728000000000002</v>
      </c>
      <c r="AH76" s="254">
        <f t="shared" si="63"/>
        <v>-52.728000000000002</v>
      </c>
      <c r="AI76" s="254">
        <f t="shared" si="63"/>
        <v>-52.728000000000002</v>
      </c>
      <c r="AJ76" s="254">
        <f t="shared" ref="AJ76:BO76" si="64">INDEX($D$40:$R$40,1,MATCH(AJ$57,$D$36:$R$36,0))/12*OpExpenseAsPctOfCost</f>
        <v>-52.728000000000002</v>
      </c>
      <c r="AK76" s="254">
        <f t="shared" si="64"/>
        <v>-52.728000000000002</v>
      </c>
      <c r="AL76" s="254">
        <f t="shared" si="64"/>
        <v>-52.728000000000002</v>
      </c>
      <c r="AM76" s="254">
        <f t="shared" si="64"/>
        <v>-52.728000000000002</v>
      </c>
      <c r="AN76" s="254">
        <f t="shared" si="64"/>
        <v>-54.837119999999999</v>
      </c>
      <c r="AO76" s="254">
        <f t="shared" si="64"/>
        <v>-54.837119999999999</v>
      </c>
      <c r="AP76" s="254">
        <f t="shared" si="64"/>
        <v>-54.837119999999999</v>
      </c>
      <c r="AQ76" s="254">
        <f t="shared" si="64"/>
        <v>-54.837119999999999</v>
      </c>
      <c r="AR76" s="254">
        <f t="shared" si="64"/>
        <v>-54.837119999999999</v>
      </c>
      <c r="AS76" s="254">
        <f t="shared" si="64"/>
        <v>-54.837119999999999</v>
      </c>
      <c r="AT76" s="254">
        <f t="shared" si="64"/>
        <v>-54.837119999999999</v>
      </c>
      <c r="AU76" s="254">
        <f t="shared" si="64"/>
        <v>-54.837119999999999</v>
      </c>
      <c r="AV76" s="254">
        <f t="shared" si="64"/>
        <v>-54.837119999999999</v>
      </c>
      <c r="AW76" s="254">
        <f t="shared" si="64"/>
        <v>-54.837119999999999</v>
      </c>
      <c r="AX76" s="254">
        <f t="shared" si="64"/>
        <v>-54.837119999999999</v>
      </c>
      <c r="AY76" s="254">
        <f t="shared" si="64"/>
        <v>-54.837119999999999</v>
      </c>
      <c r="AZ76" s="254">
        <f t="shared" si="64"/>
        <v>-57.030604799999999</v>
      </c>
      <c r="BA76" s="254">
        <f t="shared" si="64"/>
        <v>-57.030604799999999</v>
      </c>
      <c r="BB76" s="254">
        <f t="shared" si="64"/>
        <v>-57.030604799999999</v>
      </c>
      <c r="BC76" s="254">
        <f t="shared" si="64"/>
        <v>-57.030604799999999</v>
      </c>
      <c r="BD76" s="254">
        <f t="shared" si="64"/>
        <v>-57.030604799999999</v>
      </c>
      <c r="BE76" s="254">
        <f t="shared" si="64"/>
        <v>-57.030604799999999</v>
      </c>
      <c r="BF76" s="254">
        <f t="shared" si="64"/>
        <v>-57.030604799999999</v>
      </c>
      <c r="BG76" s="254">
        <f t="shared" si="64"/>
        <v>-57.030604799999999</v>
      </c>
      <c r="BH76" s="254">
        <f t="shared" si="64"/>
        <v>-57.030604799999999</v>
      </c>
      <c r="BI76" s="254">
        <f t="shared" si="64"/>
        <v>-57.030604799999999</v>
      </c>
      <c r="BJ76" s="254">
        <f t="shared" si="64"/>
        <v>-57.030604799999999</v>
      </c>
      <c r="BK76" s="254">
        <f t="shared" si="64"/>
        <v>-57.030604799999999</v>
      </c>
      <c r="BL76" s="254">
        <f t="shared" si="64"/>
        <v>-59.311828992000009</v>
      </c>
      <c r="BM76" s="254">
        <f t="shared" si="64"/>
        <v>-59.311828992000009</v>
      </c>
      <c r="BN76" s="254">
        <f t="shared" si="64"/>
        <v>-59.311828992000009</v>
      </c>
      <c r="BO76" s="254">
        <f t="shared" si="64"/>
        <v>-59.311828992000009</v>
      </c>
      <c r="BP76" s="254">
        <f t="shared" ref="BP76:CU76" si="65">INDEX($D$40:$R$40,1,MATCH(BP$57,$D$36:$R$36,0))/12*OpExpenseAsPctOfCost</f>
        <v>-59.311828992000009</v>
      </c>
      <c r="BQ76" s="254">
        <f t="shared" si="65"/>
        <v>-59.311828992000009</v>
      </c>
      <c r="BR76" s="254">
        <f t="shared" si="65"/>
        <v>-59.311828992000009</v>
      </c>
      <c r="BS76" s="254">
        <f t="shared" si="65"/>
        <v>-59.311828992000009</v>
      </c>
      <c r="BT76" s="254">
        <f t="shared" si="65"/>
        <v>-59.311828992000009</v>
      </c>
      <c r="BU76" s="254">
        <f t="shared" si="65"/>
        <v>-59.311828992000009</v>
      </c>
      <c r="BV76" s="254">
        <f t="shared" si="65"/>
        <v>-59.311828992000009</v>
      </c>
      <c r="BW76" s="254">
        <f t="shared" si="65"/>
        <v>-59.311828992000009</v>
      </c>
      <c r="BX76" s="254">
        <f t="shared" si="65"/>
        <v>-61.684302151680008</v>
      </c>
      <c r="BY76" s="254">
        <f t="shared" si="65"/>
        <v>-61.684302151680008</v>
      </c>
      <c r="BZ76" s="254">
        <f t="shared" si="65"/>
        <v>-61.684302151680008</v>
      </c>
      <c r="CA76" s="254">
        <f t="shared" si="65"/>
        <v>-61.684302151680008</v>
      </c>
      <c r="CB76" s="254">
        <f t="shared" si="65"/>
        <v>-61.684302151680008</v>
      </c>
      <c r="CC76" s="254">
        <f t="shared" si="65"/>
        <v>-61.684302151680008</v>
      </c>
      <c r="CD76" s="254">
        <f t="shared" si="65"/>
        <v>-61.684302151680008</v>
      </c>
      <c r="CE76" s="254">
        <f t="shared" si="65"/>
        <v>-61.684302151680008</v>
      </c>
      <c r="CF76" s="254">
        <f t="shared" si="65"/>
        <v>-61.684302151680008</v>
      </c>
      <c r="CG76" s="254">
        <f t="shared" si="65"/>
        <v>-61.684302151680008</v>
      </c>
      <c r="CH76" s="254">
        <f t="shared" si="65"/>
        <v>-61.684302151680008</v>
      </c>
      <c r="CI76" s="254">
        <f t="shared" si="65"/>
        <v>-61.684302151680008</v>
      </c>
      <c r="CJ76" s="254">
        <f t="shared" si="65"/>
        <v>-64.151674237747201</v>
      </c>
      <c r="CK76" s="254">
        <f t="shared" si="65"/>
        <v>-64.151674237747201</v>
      </c>
      <c r="CL76" s="254">
        <f t="shared" si="65"/>
        <v>-64.151674237747201</v>
      </c>
      <c r="CM76" s="254">
        <f t="shared" si="65"/>
        <v>-64.151674237747201</v>
      </c>
      <c r="CN76" s="254">
        <f t="shared" si="65"/>
        <v>-64.151674237747201</v>
      </c>
      <c r="CO76" s="254">
        <f t="shared" si="65"/>
        <v>-64.151674237747201</v>
      </c>
      <c r="CP76" s="254">
        <f t="shared" si="65"/>
        <v>-64.151674237747201</v>
      </c>
      <c r="CQ76" s="254">
        <f t="shared" si="65"/>
        <v>-64.151674237747201</v>
      </c>
      <c r="CR76" s="254">
        <f t="shared" si="65"/>
        <v>-64.151674237747201</v>
      </c>
      <c r="CS76" s="254">
        <f t="shared" si="65"/>
        <v>-64.151674237747201</v>
      </c>
      <c r="CT76" s="254">
        <f t="shared" si="65"/>
        <v>-64.151674237747201</v>
      </c>
      <c r="CU76" s="254">
        <f t="shared" si="65"/>
        <v>-64.151674237747201</v>
      </c>
      <c r="CV76" s="254">
        <f t="shared" ref="CV76:EA76" si="66">INDEX($D$40:$R$40,1,MATCH(CV$57,$D$36:$R$36,0))/12*OpExpenseAsPctOfCost</f>
        <v>-66.717741207257106</v>
      </c>
      <c r="CW76" s="254">
        <f t="shared" si="66"/>
        <v>-66.717741207257106</v>
      </c>
      <c r="CX76" s="254">
        <f t="shared" si="66"/>
        <v>-66.717741207257106</v>
      </c>
      <c r="CY76" s="254">
        <f t="shared" si="66"/>
        <v>-66.717741207257106</v>
      </c>
      <c r="CZ76" s="254">
        <f t="shared" si="66"/>
        <v>-66.717741207257106</v>
      </c>
      <c r="DA76" s="254">
        <f t="shared" si="66"/>
        <v>-66.717741207257106</v>
      </c>
      <c r="DB76" s="254">
        <f t="shared" si="66"/>
        <v>-66.717741207257106</v>
      </c>
      <c r="DC76" s="254">
        <f t="shared" si="66"/>
        <v>-66.717741207257106</v>
      </c>
      <c r="DD76" s="254">
        <f t="shared" si="66"/>
        <v>-66.717741207257106</v>
      </c>
      <c r="DE76" s="254">
        <f t="shared" si="66"/>
        <v>-66.717741207257106</v>
      </c>
      <c r="DF76" s="254">
        <f t="shared" si="66"/>
        <v>-66.717741207257106</v>
      </c>
      <c r="DG76" s="254">
        <f t="shared" si="66"/>
        <v>-66.717741207257106</v>
      </c>
      <c r="DH76" s="254">
        <f t="shared" si="66"/>
        <v>-69.38645085554738</v>
      </c>
      <c r="DI76" s="254">
        <f t="shared" si="66"/>
        <v>-69.38645085554738</v>
      </c>
      <c r="DJ76" s="254">
        <f t="shared" si="66"/>
        <v>-69.38645085554738</v>
      </c>
      <c r="DK76" s="254">
        <f t="shared" si="66"/>
        <v>-69.38645085554738</v>
      </c>
      <c r="DL76" s="254">
        <f t="shared" si="66"/>
        <v>-69.38645085554738</v>
      </c>
      <c r="DM76" s="254">
        <f t="shared" si="66"/>
        <v>-69.38645085554738</v>
      </c>
      <c r="DN76" s="254">
        <f t="shared" si="66"/>
        <v>-69.38645085554738</v>
      </c>
      <c r="DO76" s="254">
        <f t="shared" si="66"/>
        <v>-69.38645085554738</v>
      </c>
      <c r="DP76" s="254">
        <f t="shared" si="66"/>
        <v>-69.38645085554738</v>
      </c>
      <c r="DQ76" s="254">
        <f t="shared" si="66"/>
        <v>-69.38645085554738</v>
      </c>
      <c r="DR76" s="254">
        <f t="shared" si="66"/>
        <v>-69.38645085554738</v>
      </c>
      <c r="DS76" s="254">
        <f t="shared" si="66"/>
        <v>-69.38645085554738</v>
      </c>
      <c r="DT76" s="254">
        <f t="shared" si="66"/>
        <v>-72.161908889769279</v>
      </c>
      <c r="DU76" s="254">
        <f t="shared" si="66"/>
        <v>-72.161908889769279</v>
      </c>
      <c r="DV76" s="254">
        <f t="shared" si="66"/>
        <v>-72.161908889769279</v>
      </c>
      <c r="DW76" s="254">
        <f t="shared" si="66"/>
        <v>-72.161908889769279</v>
      </c>
      <c r="DX76" s="254">
        <f t="shared" si="66"/>
        <v>-72.161908889769279</v>
      </c>
      <c r="DY76" s="254">
        <f t="shared" si="66"/>
        <v>-72.161908889769279</v>
      </c>
      <c r="DZ76" s="254">
        <f t="shared" si="66"/>
        <v>-72.161908889769279</v>
      </c>
      <c r="EA76" s="254">
        <f t="shared" si="66"/>
        <v>-72.161908889769279</v>
      </c>
      <c r="EB76" s="254">
        <f t="shared" ref="EB76:FG76" si="67">INDEX($D$40:$R$40,1,MATCH(EB$57,$D$36:$R$36,0))/12*OpExpenseAsPctOfCost</f>
        <v>-72.161908889769279</v>
      </c>
      <c r="EC76" s="254">
        <f t="shared" si="67"/>
        <v>-72.161908889769279</v>
      </c>
      <c r="ED76" s="254">
        <f t="shared" si="67"/>
        <v>-72.161908889769279</v>
      </c>
      <c r="EE76" s="254">
        <f t="shared" si="67"/>
        <v>-72.161908889769279</v>
      </c>
      <c r="EF76" s="254">
        <f t="shared" si="67"/>
        <v>-1071.8386937377388</v>
      </c>
      <c r="EG76" s="254">
        <f t="shared" si="67"/>
        <v>-1071.8386937377388</v>
      </c>
      <c r="EH76" s="254">
        <f t="shared" si="67"/>
        <v>-1071.8386937377388</v>
      </c>
      <c r="EI76" s="254">
        <f t="shared" si="67"/>
        <v>-1071.8386937377388</v>
      </c>
      <c r="EJ76" s="254">
        <f t="shared" si="67"/>
        <v>-1071.8386937377388</v>
      </c>
      <c r="EK76" s="254">
        <f t="shared" si="67"/>
        <v>-1071.8386937377388</v>
      </c>
      <c r="EL76" s="254">
        <f t="shared" si="67"/>
        <v>-1071.8386937377388</v>
      </c>
      <c r="EM76" s="254">
        <f t="shared" si="67"/>
        <v>-1071.8386937377388</v>
      </c>
      <c r="EN76" s="254">
        <f t="shared" si="67"/>
        <v>-1071.8386937377388</v>
      </c>
      <c r="EO76" s="254">
        <f t="shared" si="67"/>
        <v>-1071.8386937377388</v>
      </c>
      <c r="EP76" s="254">
        <f t="shared" si="67"/>
        <v>-1071.8386937377388</v>
      </c>
      <c r="EQ76" s="254">
        <f t="shared" si="67"/>
        <v>-1071.8386937377388</v>
      </c>
      <c r="ER76" s="254">
        <f t="shared" si="67"/>
        <v>-78.05032065517446</v>
      </c>
      <c r="ES76" s="254">
        <f t="shared" si="67"/>
        <v>-78.05032065517446</v>
      </c>
      <c r="ET76" s="254">
        <f t="shared" si="67"/>
        <v>-78.05032065517446</v>
      </c>
      <c r="EU76" s="254">
        <f t="shared" si="67"/>
        <v>-78.05032065517446</v>
      </c>
      <c r="EV76" s="254">
        <f t="shared" si="67"/>
        <v>-78.05032065517446</v>
      </c>
      <c r="EW76" s="254">
        <f t="shared" si="67"/>
        <v>-78.05032065517446</v>
      </c>
      <c r="EX76" s="254">
        <f t="shared" si="67"/>
        <v>-78.05032065517446</v>
      </c>
      <c r="EY76" s="254">
        <f t="shared" si="67"/>
        <v>-78.05032065517446</v>
      </c>
      <c r="EZ76" s="254">
        <f t="shared" si="67"/>
        <v>-78.05032065517446</v>
      </c>
      <c r="FA76" s="254">
        <f t="shared" si="67"/>
        <v>-78.05032065517446</v>
      </c>
      <c r="FB76" s="254">
        <f t="shared" si="67"/>
        <v>-78.05032065517446</v>
      </c>
      <c r="FC76" s="254">
        <f t="shared" si="67"/>
        <v>-78.05032065517446</v>
      </c>
      <c r="FD76" s="254">
        <f t="shared" si="67"/>
        <v>-81.172333481381443</v>
      </c>
      <c r="FE76" s="254">
        <f t="shared" si="67"/>
        <v>-81.172333481381443</v>
      </c>
      <c r="FF76" s="254">
        <f t="shared" si="67"/>
        <v>-81.172333481381443</v>
      </c>
      <c r="FG76" s="254">
        <f t="shared" si="67"/>
        <v>-81.172333481381443</v>
      </c>
      <c r="FH76" s="254">
        <f t="shared" ref="FH76:GA76" si="68">INDEX($D$40:$R$40,1,MATCH(FH$57,$D$36:$R$36,0))/12*OpExpenseAsPctOfCost</f>
        <v>-81.172333481381443</v>
      </c>
      <c r="FI76" s="254">
        <f t="shared" si="68"/>
        <v>-81.172333481381443</v>
      </c>
      <c r="FJ76" s="254">
        <f t="shared" si="68"/>
        <v>-81.172333481381443</v>
      </c>
      <c r="FK76" s="254">
        <f t="shared" si="68"/>
        <v>-81.172333481381443</v>
      </c>
      <c r="FL76" s="254">
        <f t="shared" si="68"/>
        <v>-81.172333481381443</v>
      </c>
      <c r="FM76" s="254">
        <f t="shared" si="68"/>
        <v>-81.172333481381443</v>
      </c>
      <c r="FN76" s="254">
        <f t="shared" si="68"/>
        <v>-81.172333481381443</v>
      </c>
      <c r="FO76" s="254">
        <f t="shared" si="68"/>
        <v>-81.172333481381443</v>
      </c>
      <c r="FP76" s="254">
        <f t="shared" si="68"/>
        <v>-84.419226820636695</v>
      </c>
      <c r="FQ76" s="254">
        <f t="shared" si="68"/>
        <v>-84.419226820636695</v>
      </c>
      <c r="FR76" s="254">
        <f t="shared" si="68"/>
        <v>-84.419226820636695</v>
      </c>
      <c r="FS76" s="254">
        <f t="shared" si="68"/>
        <v>-84.419226820636695</v>
      </c>
      <c r="FT76" s="254">
        <f t="shared" si="68"/>
        <v>-84.419226820636695</v>
      </c>
      <c r="FU76" s="254">
        <f t="shared" si="68"/>
        <v>-84.419226820636695</v>
      </c>
      <c r="FV76" s="254">
        <f t="shared" si="68"/>
        <v>-84.419226820636695</v>
      </c>
      <c r="FW76" s="254">
        <f t="shared" si="68"/>
        <v>-84.419226820636695</v>
      </c>
      <c r="FX76" s="254">
        <f t="shared" si="68"/>
        <v>-84.419226820636695</v>
      </c>
      <c r="FY76" s="254">
        <f t="shared" si="68"/>
        <v>-84.419226820636695</v>
      </c>
      <c r="FZ76" s="254">
        <f t="shared" si="68"/>
        <v>-84.419226820636695</v>
      </c>
      <c r="GA76" s="268">
        <f t="shared" si="68"/>
        <v>-84.419226820636695</v>
      </c>
    </row>
    <row r="77" spans="1:183" x14ac:dyDescent="0.15">
      <c r="A77" s="281" t="s">
        <v>876</v>
      </c>
      <c r="C77" s="288">
        <f>-C13+C26+C19</f>
        <v>0</v>
      </c>
      <c r="D77" s="287">
        <f ca="1">SUM(D74:D76)</f>
        <v>48.75</v>
      </c>
      <c r="E77" s="287">
        <f t="shared" ref="E77:BP77" ca="1" si="69">SUM(E74:E76)</f>
        <v>48.75</v>
      </c>
      <c r="F77" s="287">
        <f t="shared" ca="1" si="69"/>
        <v>48.75</v>
      </c>
      <c r="G77" s="287">
        <f t="shared" ca="1" si="69"/>
        <v>48.75</v>
      </c>
      <c r="H77" s="287">
        <f t="shared" ca="1" si="69"/>
        <v>48.75</v>
      </c>
      <c r="I77" s="287">
        <f t="shared" ca="1" si="69"/>
        <v>48.75</v>
      </c>
      <c r="J77" s="287">
        <f t="shared" ca="1" si="69"/>
        <v>48.75</v>
      </c>
      <c r="K77" s="287">
        <f t="shared" ca="1" si="69"/>
        <v>48.75</v>
      </c>
      <c r="L77" s="287">
        <f t="shared" ca="1" si="69"/>
        <v>48.75</v>
      </c>
      <c r="M77" s="287">
        <f t="shared" ca="1" si="69"/>
        <v>48.75</v>
      </c>
      <c r="N77" s="287">
        <f t="shared" ca="1" si="69"/>
        <v>48.75</v>
      </c>
      <c r="O77" s="287">
        <f t="shared" ca="1" si="69"/>
        <v>48.75</v>
      </c>
      <c r="P77" s="287">
        <f t="shared" ca="1" si="69"/>
        <v>50.699999999999996</v>
      </c>
      <c r="Q77" s="287">
        <f t="shared" ca="1" si="69"/>
        <v>50.699999999999996</v>
      </c>
      <c r="R77" s="287">
        <f t="shared" ca="1" si="69"/>
        <v>50.699999999999996</v>
      </c>
      <c r="S77" s="287">
        <f t="shared" ca="1" si="69"/>
        <v>50.699999999999996</v>
      </c>
      <c r="T77" s="287">
        <f t="shared" ca="1" si="69"/>
        <v>50.699999999999996</v>
      </c>
      <c r="U77" s="287">
        <f t="shared" ca="1" si="69"/>
        <v>50.699999999999996</v>
      </c>
      <c r="V77" s="287">
        <f t="shared" ca="1" si="69"/>
        <v>50.699999999999996</v>
      </c>
      <c r="W77" s="287">
        <f t="shared" ca="1" si="69"/>
        <v>50.699999999999996</v>
      </c>
      <c r="X77" s="287">
        <f t="shared" ca="1" si="69"/>
        <v>50.699999999999996</v>
      </c>
      <c r="Y77" s="287">
        <f t="shared" ca="1" si="69"/>
        <v>50.699999999999996</v>
      </c>
      <c r="Z77" s="287">
        <f t="shared" ca="1" si="69"/>
        <v>50.699999999999996</v>
      </c>
      <c r="AA77" s="287">
        <f t="shared" ca="1" si="69"/>
        <v>50.699999999999996</v>
      </c>
      <c r="AB77" s="287">
        <f t="shared" ca="1" si="69"/>
        <v>52.728000000000002</v>
      </c>
      <c r="AC77" s="287">
        <f t="shared" ca="1" si="69"/>
        <v>52.728000000000002</v>
      </c>
      <c r="AD77" s="287">
        <f t="shared" ca="1" si="69"/>
        <v>52.728000000000002</v>
      </c>
      <c r="AE77" s="287">
        <f t="shared" ca="1" si="69"/>
        <v>52.728000000000002</v>
      </c>
      <c r="AF77" s="287">
        <f t="shared" ca="1" si="69"/>
        <v>52.728000000000002</v>
      </c>
      <c r="AG77" s="287">
        <f t="shared" ca="1" si="69"/>
        <v>52.728000000000002</v>
      </c>
      <c r="AH77" s="287">
        <f t="shared" ca="1" si="69"/>
        <v>52.728000000000002</v>
      </c>
      <c r="AI77" s="287">
        <f t="shared" ca="1" si="69"/>
        <v>52.728000000000002</v>
      </c>
      <c r="AJ77" s="287">
        <f t="shared" ca="1" si="69"/>
        <v>52.728000000000002</v>
      </c>
      <c r="AK77" s="287">
        <f t="shared" ca="1" si="69"/>
        <v>52.728000000000002</v>
      </c>
      <c r="AL77" s="287">
        <f t="shared" ca="1" si="69"/>
        <v>52.728000000000002</v>
      </c>
      <c r="AM77" s="287">
        <f t="shared" ca="1" si="69"/>
        <v>52.728000000000002</v>
      </c>
      <c r="AN77" s="287">
        <f t="shared" ca="1" si="69"/>
        <v>54.837119999999999</v>
      </c>
      <c r="AO77" s="287">
        <f t="shared" ca="1" si="69"/>
        <v>54.837119999999999</v>
      </c>
      <c r="AP77" s="287">
        <f t="shared" ca="1" si="69"/>
        <v>54.837119999999999</v>
      </c>
      <c r="AQ77" s="287">
        <f t="shared" ca="1" si="69"/>
        <v>54.837119999999999</v>
      </c>
      <c r="AR77" s="287">
        <f t="shared" ca="1" si="69"/>
        <v>54.837119999999999</v>
      </c>
      <c r="AS77" s="287">
        <f t="shared" ca="1" si="69"/>
        <v>54.837119999999999</v>
      </c>
      <c r="AT77" s="287">
        <f t="shared" ca="1" si="69"/>
        <v>54.837119999999999</v>
      </c>
      <c r="AU77" s="287">
        <f t="shared" ca="1" si="69"/>
        <v>54.837119999999999</v>
      </c>
      <c r="AV77" s="287">
        <f t="shared" ca="1" si="69"/>
        <v>54.837119999999999</v>
      </c>
      <c r="AW77" s="287">
        <f t="shared" ca="1" si="69"/>
        <v>54.837119999999999</v>
      </c>
      <c r="AX77" s="287">
        <f t="shared" ca="1" si="69"/>
        <v>54.837119999999999</v>
      </c>
      <c r="AY77" s="287">
        <f t="shared" ca="1" si="69"/>
        <v>54.837119999999999</v>
      </c>
      <c r="AZ77" s="287">
        <f t="shared" ca="1" si="69"/>
        <v>57.030604799999999</v>
      </c>
      <c r="BA77" s="287">
        <f t="shared" ca="1" si="69"/>
        <v>57.030604799999999</v>
      </c>
      <c r="BB77" s="287">
        <f t="shared" ca="1" si="69"/>
        <v>57.030604799999999</v>
      </c>
      <c r="BC77" s="287">
        <f t="shared" ca="1" si="69"/>
        <v>57.030604799999999</v>
      </c>
      <c r="BD77" s="287">
        <f t="shared" ca="1" si="69"/>
        <v>57.030604799999999</v>
      </c>
      <c r="BE77" s="287">
        <f t="shared" ca="1" si="69"/>
        <v>57.030604799999999</v>
      </c>
      <c r="BF77" s="287">
        <f t="shared" ca="1" si="69"/>
        <v>57.030604799999999</v>
      </c>
      <c r="BG77" s="287">
        <f t="shared" ca="1" si="69"/>
        <v>57.030604799999999</v>
      </c>
      <c r="BH77" s="287">
        <f t="shared" ca="1" si="69"/>
        <v>57.030604799999999</v>
      </c>
      <c r="BI77" s="287">
        <f t="shared" ca="1" si="69"/>
        <v>57.030604799999999</v>
      </c>
      <c r="BJ77" s="287">
        <f t="shared" ca="1" si="69"/>
        <v>57.030604799999999</v>
      </c>
      <c r="BK77" s="287">
        <f t="shared" ca="1" si="69"/>
        <v>57.030604799999999</v>
      </c>
      <c r="BL77" s="287">
        <f t="shared" ca="1" si="69"/>
        <v>59.311828992000009</v>
      </c>
      <c r="BM77" s="287">
        <f t="shared" ca="1" si="69"/>
        <v>59.311828992000009</v>
      </c>
      <c r="BN77" s="287">
        <f t="shared" ca="1" si="69"/>
        <v>59.311828992000009</v>
      </c>
      <c r="BO77" s="287">
        <f t="shared" ca="1" si="69"/>
        <v>59.311828992000009</v>
      </c>
      <c r="BP77" s="287">
        <f t="shared" ca="1" si="69"/>
        <v>59.311828992000009</v>
      </c>
      <c r="BQ77" s="287">
        <f t="shared" ref="BQ77:EB77" ca="1" si="70">SUM(BQ74:BQ76)</f>
        <v>59.311828992000009</v>
      </c>
      <c r="BR77" s="287">
        <f t="shared" ca="1" si="70"/>
        <v>59.311828992000009</v>
      </c>
      <c r="BS77" s="287">
        <f t="shared" ca="1" si="70"/>
        <v>59.311828992000009</v>
      </c>
      <c r="BT77" s="287">
        <f t="shared" ca="1" si="70"/>
        <v>59.311828992000009</v>
      </c>
      <c r="BU77" s="287">
        <f t="shared" ca="1" si="70"/>
        <v>59.311828992000009</v>
      </c>
      <c r="BV77" s="287">
        <f t="shared" ca="1" si="70"/>
        <v>59.311828992000009</v>
      </c>
      <c r="BW77" s="287">
        <f t="shared" ca="1" si="70"/>
        <v>59.311828992000009</v>
      </c>
      <c r="BX77" s="287">
        <f t="shared" ca="1" si="70"/>
        <v>61.684302151680008</v>
      </c>
      <c r="BY77" s="287">
        <f t="shared" ca="1" si="70"/>
        <v>61.684302151680008</v>
      </c>
      <c r="BZ77" s="287">
        <f t="shared" ca="1" si="70"/>
        <v>61.684302151680008</v>
      </c>
      <c r="CA77" s="287">
        <f t="shared" ca="1" si="70"/>
        <v>61.684302151680008</v>
      </c>
      <c r="CB77" s="287">
        <f t="shared" ca="1" si="70"/>
        <v>61.684302151680008</v>
      </c>
      <c r="CC77" s="287">
        <f t="shared" ca="1" si="70"/>
        <v>61.684302151680008</v>
      </c>
      <c r="CD77" s="287">
        <f t="shared" ca="1" si="70"/>
        <v>61.684302151680008</v>
      </c>
      <c r="CE77" s="287">
        <f t="shared" ca="1" si="70"/>
        <v>61.684302151680008</v>
      </c>
      <c r="CF77" s="287">
        <f t="shared" ca="1" si="70"/>
        <v>61.684302151680008</v>
      </c>
      <c r="CG77" s="287">
        <f t="shared" ca="1" si="70"/>
        <v>61.684302151680008</v>
      </c>
      <c r="CH77" s="287">
        <f t="shared" ca="1" si="70"/>
        <v>61.684302151680008</v>
      </c>
      <c r="CI77" s="287">
        <f t="shared" ca="1" si="70"/>
        <v>61.684302151680008</v>
      </c>
      <c r="CJ77" s="287">
        <f t="shared" ca="1" si="70"/>
        <v>64.151674237747201</v>
      </c>
      <c r="CK77" s="287">
        <f t="shared" ca="1" si="70"/>
        <v>64.151674237747201</v>
      </c>
      <c r="CL77" s="287">
        <f t="shared" ca="1" si="70"/>
        <v>64.151674237747201</v>
      </c>
      <c r="CM77" s="287">
        <f t="shared" ca="1" si="70"/>
        <v>64.151674237747201</v>
      </c>
      <c r="CN77" s="287">
        <f t="shared" ca="1" si="70"/>
        <v>64.151674237747201</v>
      </c>
      <c r="CO77" s="287">
        <f t="shared" ca="1" si="70"/>
        <v>64.151674237747201</v>
      </c>
      <c r="CP77" s="287">
        <f t="shared" ca="1" si="70"/>
        <v>64.151674237747201</v>
      </c>
      <c r="CQ77" s="287">
        <f t="shared" ca="1" si="70"/>
        <v>64.151674237747201</v>
      </c>
      <c r="CR77" s="287">
        <f t="shared" ca="1" si="70"/>
        <v>64.151674237747201</v>
      </c>
      <c r="CS77" s="287">
        <f t="shared" ca="1" si="70"/>
        <v>64.151674237747201</v>
      </c>
      <c r="CT77" s="287">
        <f t="shared" ca="1" si="70"/>
        <v>64.151674237747201</v>
      </c>
      <c r="CU77" s="287">
        <f t="shared" ca="1" si="70"/>
        <v>64.151674237747201</v>
      </c>
      <c r="CV77" s="287">
        <f t="shared" ca="1" si="70"/>
        <v>66.717741207257106</v>
      </c>
      <c r="CW77" s="287">
        <f t="shared" ca="1" si="70"/>
        <v>66.717741207257106</v>
      </c>
      <c r="CX77" s="287">
        <f t="shared" ca="1" si="70"/>
        <v>66.717741207257106</v>
      </c>
      <c r="CY77" s="287">
        <f t="shared" ca="1" si="70"/>
        <v>66.717741207257106</v>
      </c>
      <c r="CZ77" s="287">
        <f t="shared" ca="1" si="70"/>
        <v>66.717741207257106</v>
      </c>
      <c r="DA77" s="287">
        <f t="shared" ca="1" si="70"/>
        <v>66.717741207257106</v>
      </c>
      <c r="DB77" s="287">
        <f t="shared" ca="1" si="70"/>
        <v>66.717741207257106</v>
      </c>
      <c r="DC77" s="287">
        <f t="shared" ca="1" si="70"/>
        <v>66.717741207257106</v>
      </c>
      <c r="DD77" s="287">
        <f t="shared" ca="1" si="70"/>
        <v>66.717741207257106</v>
      </c>
      <c r="DE77" s="287">
        <f t="shared" ca="1" si="70"/>
        <v>1244.2502004900016</v>
      </c>
      <c r="DF77" s="287">
        <f t="shared" ca="1" si="70"/>
        <v>2621.1041997095417</v>
      </c>
      <c r="DG77" s="287">
        <f t="shared" ca="1" si="70"/>
        <v>2621.1041997095417</v>
      </c>
      <c r="DH77" s="287">
        <f t="shared" ca="1" si="70"/>
        <v>2712.5092579933385</v>
      </c>
      <c r="DI77" s="287">
        <f t="shared" ca="1" si="70"/>
        <v>2712.5092579933385</v>
      </c>
      <c r="DJ77" s="287">
        <f t="shared" ca="1" si="70"/>
        <v>2712.5092579933385</v>
      </c>
      <c r="DK77" s="287">
        <f t="shared" ca="1" si="70"/>
        <v>2712.5092579933385</v>
      </c>
      <c r="DL77" s="287">
        <f t="shared" ca="1" si="70"/>
        <v>2712.5092579933385</v>
      </c>
      <c r="DM77" s="287">
        <f t="shared" ca="1" si="70"/>
        <v>2712.5092579933385</v>
      </c>
      <c r="DN77" s="287">
        <f t="shared" ca="1" si="70"/>
        <v>2712.5092579933385</v>
      </c>
      <c r="DO77" s="287">
        <f t="shared" ca="1" si="70"/>
        <v>2712.5092579933385</v>
      </c>
      <c r="DP77" s="287">
        <f t="shared" ca="1" si="70"/>
        <v>2712.5092579933385</v>
      </c>
      <c r="DQ77" s="287">
        <f t="shared" ca="1" si="70"/>
        <v>2712.5092579933385</v>
      </c>
      <c r="DR77" s="287">
        <f t="shared" ca="1" si="70"/>
        <v>2712.5092579933385</v>
      </c>
      <c r="DS77" s="287">
        <f t="shared" ca="1" si="70"/>
        <v>2712.5092579933385</v>
      </c>
      <c r="DT77" s="287">
        <f t="shared" ca="1" si="70"/>
        <v>2807.100149768828</v>
      </c>
      <c r="DU77" s="287">
        <f t="shared" ca="1" si="70"/>
        <v>2807.100149768828</v>
      </c>
      <c r="DV77" s="287">
        <f t="shared" ca="1" si="70"/>
        <v>2807.100149768828</v>
      </c>
      <c r="DW77" s="287">
        <f t="shared" ca="1" si="70"/>
        <v>2807.100149768828</v>
      </c>
      <c r="DX77" s="287">
        <f t="shared" ca="1" si="70"/>
        <v>2807.100149768828</v>
      </c>
      <c r="DY77" s="287">
        <f t="shared" ca="1" si="70"/>
        <v>2807.100149768828</v>
      </c>
      <c r="DZ77" s="287">
        <f t="shared" ca="1" si="70"/>
        <v>2807.100149768828</v>
      </c>
      <c r="EA77" s="287">
        <f t="shared" ca="1" si="70"/>
        <v>2807.100149768828</v>
      </c>
      <c r="EB77" s="287">
        <f t="shared" ca="1" si="70"/>
        <v>2807.100149768828</v>
      </c>
      <c r="EC77" s="287">
        <f t="shared" ref="EC77:GA77" ca="1" si="71">SUM(EC74:EC76)</f>
        <v>2807.100149768828</v>
      </c>
      <c r="ED77" s="287">
        <f t="shared" ca="1" si="71"/>
        <v>2807.100149768828</v>
      </c>
      <c r="EE77" s="287">
        <f t="shared" ca="1" si="71"/>
        <v>2807.100149768828</v>
      </c>
      <c r="EF77" s="287">
        <f t="shared" ca="1" si="71"/>
        <v>1908.1975369739087</v>
      </c>
      <c r="EG77" s="287">
        <f t="shared" ca="1" si="71"/>
        <v>1908.1975369739087</v>
      </c>
      <c r="EH77" s="287">
        <f t="shared" ca="1" si="71"/>
        <v>1908.1975369739087</v>
      </c>
      <c r="EI77" s="287">
        <f t="shared" ca="1" si="71"/>
        <v>1908.1975369739087</v>
      </c>
      <c r="EJ77" s="287">
        <f t="shared" ca="1" si="71"/>
        <v>1908.1975369739087</v>
      </c>
      <c r="EK77" s="287">
        <f t="shared" ca="1" si="71"/>
        <v>1908.1975369739087</v>
      </c>
      <c r="EL77" s="287">
        <f t="shared" ca="1" si="71"/>
        <v>1908.1975369739087</v>
      </c>
      <c r="EM77" s="287">
        <f t="shared" ca="1" si="71"/>
        <v>1908.1975369739087</v>
      </c>
      <c r="EN77" s="287">
        <f t="shared" ca="1" si="71"/>
        <v>1908.1975369739087</v>
      </c>
      <c r="EO77" s="287">
        <f t="shared" ca="1" si="71"/>
        <v>1908.1975369739087</v>
      </c>
      <c r="EP77" s="287">
        <f t="shared" ca="1" si="71"/>
        <v>1908.1975369739087</v>
      </c>
      <c r="EQ77" s="287">
        <f t="shared" ca="1" si="71"/>
        <v>1908.1975369739087</v>
      </c>
      <c r="ER77" s="287">
        <f t="shared" ca="1" si="71"/>
        <v>3006.2871781313802</v>
      </c>
      <c r="ES77" s="287">
        <f t="shared" ca="1" si="71"/>
        <v>3006.2871781313802</v>
      </c>
      <c r="ET77" s="287">
        <f t="shared" ca="1" si="71"/>
        <v>3006.2871781313802</v>
      </c>
      <c r="EU77" s="287">
        <f t="shared" ca="1" si="71"/>
        <v>3006.2871781313802</v>
      </c>
      <c r="EV77" s="287">
        <f t="shared" ca="1" si="71"/>
        <v>3006.2871781313802</v>
      </c>
      <c r="EW77" s="287">
        <f t="shared" ca="1" si="71"/>
        <v>3006.2871781313802</v>
      </c>
      <c r="EX77" s="287">
        <f t="shared" ca="1" si="71"/>
        <v>3006.2871781313802</v>
      </c>
      <c r="EY77" s="287">
        <f t="shared" ca="1" si="71"/>
        <v>3006.2871781313802</v>
      </c>
      <c r="EZ77" s="287">
        <f t="shared" ca="1" si="71"/>
        <v>3006.2871781313802</v>
      </c>
      <c r="FA77" s="287">
        <f t="shared" ca="1" si="71"/>
        <v>3006.2871781313802</v>
      </c>
      <c r="FB77" s="287">
        <f t="shared" ca="1" si="71"/>
        <v>3006.2871781313802</v>
      </c>
      <c r="FC77" s="287">
        <f t="shared" ca="1" si="71"/>
        <v>3006.2871781313802</v>
      </c>
      <c r="FD77" s="287">
        <f t="shared" ca="1" si="71"/>
        <v>3111.1169777627024</v>
      </c>
      <c r="FE77" s="287">
        <f t="shared" ca="1" si="71"/>
        <v>3111.1169777627024</v>
      </c>
      <c r="FF77" s="287">
        <f t="shared" ca="1" si="71"/>
        <v>3111.1169777627024</v>
      </c>
      <c r="FG77" s="287">
        <f t="shared" ca="1" si="71"/>
        <v>3111.1169777627024</v>
      </c>
      <c r="FH77" s="287">
        <f t="shared" ca="1" si="71"/>
        <v>3111.1169777627024</v>
      </c>
      <c r="FI77" s="287">
        <f t="shared" ca="1" si="71"/>
        <v>3111.1169777627024</v>
      </c>
      <c r="FJ77" s="287">
        <f t="shared" ca="1" si="71"/>
        <v>3111.1169777627024</v>
      </c>
      <c r="FK77" s="287">
        <f t="shared" ca="1" si="71"/>
        <v>3111.1169777627024</v>
      </c>
      <c r="FL77" s="287">
        <f t="shared" ca="1" si="71"/>
        <v>3111.1169777627024</v>
      </c>
      <c r="FM77" s="287">
        <f t="shared" ca="1" si="71"/>
        <v>3111.1169777627024</v>
      </c>
      <c r="FN77" s="287">
        <f t="shared" ca="1" si="71"/>
        <v>3111.1169777627024</v>
      </c>
      <c r="FO77" s="287">
        <f t="shared" ca="1" si="71"/>
        <v>3111.1169777627024</v>
      </c>
      <c r="FP77" s="287">
        <f t="shared" ca="1" si="71"/>
        <v>3219.6002103169894</v>
      </c>
      <c r="FQ77" s="287">
        <f t="shared" ca="1" si="71"/>
        <v>3219.6002103169894</v>
      </c>
      <c r="FR77" s="287">
        <f t="shared" ca="1" si="71"/>
        <v>3219.6002103169894</v>
      </c>
      <c r="FS77" s="287">
        <f t="shared" ca="1" si="71"/>
        <v>3219.6002103169894</v>
      </c>
      <c r="FT77" s="287">
        <f t="shared" ca="1" si="71"/>
        <v>3219.6002103169894</v>
      </c>
      <c r="FU77" s="287">
        <f t="shared" ca="1" si="71"/>
        <v>3219.6002103169894</v>
      </c>
      <c r="FV77" s="287">
        <f t="shared" ca="1" si="71"/>
        <v>3219.6002103169894</v>
      </c>
      <c r="FW77" s="287">
        <f t="shared" ca="1" si="71"/>
        <v>3219.6002103169894</v>
      </c>
      <c r="FX77" s="287">
        <f t="shared" ca="1" si="71"/>
        <v>3219.6002103169894</v>
      </c>
      <c r="FY77" s="287">
        <f t="shared" ca="1" si="71"/>
        <v>3219.6002103169894</v>
      </c>
      <c r="FZ77" s="287">
        <f t="shared" ca="1" si="71"/>
        <v>3219.6002103169894</v>
      </c>
      <c r="GA77" s="289">
        <f t="shared" ca="1" si="71"/>
        <v>3319.6002103169894</v>
      </c>
    </row>
    <row r="78" spans="1:183" x14ac:dyDescent="0.15">
      <c r="A78" s="286"/>
      <c r="C78" s="264"/>
      <c r="D78" s="254"/>
      <c r="E78" s="254"/>
      <c r="F78" s="254"/>
      <c r="G78" s="254"/>
      <c r="H78" s="254"/>
      <c r="I78" s="254"/>
      <c r="J78" s="254"/>
      <c r="K78" s="254"/>
      <c r="L78" s="254"/>
      <c r="M78" s="254"/>
      <c r="N78" s="254"/>
      <c r="O78" s="254"/>
      <c r="P78" s="254"/>
      <c r="Q78" s="254"/>
      <c r="R78" s="254"/>
      <c r="S78" s="254"/>
      <c r="T78" s="254"/>
      <c r="U78" s="254"/>
      <c r="V78" s="254"/>
      <c r="W78" s="254"/>
      <c r="X78" s="254"/>
      <c r="Y78" s="254"/>
      <c r="Z78" s="254"/>
      <c r="AA78" s="254"/>
      <c r="AB78" s="254"/>
      <c r="AC78" s="254"/>
      <c r="AD78" s="254"/>
      <c r="AE78" s="254"/>
      <c r="AF78" s="254"/>
      <c r="AG78" s="254"/>
      <c r="AH78" s="254"/>
      <c r="AI78" s="254"/>
      <c r="AJ78" s="254"/>
      <c r="AK78" s="254"/>
      <c r="AL78" s="254"/>
      <c r="AM78" s="254"/>
      <c r="AN78" s="254"/>
      <c r="AO78" s="254"/>
      <c r="AP78" s="254"/>
      <c r="AQ78" s="254"/>
      <c r="AR78" s="254"/>
      <c r="AS78" s="254"/>
      <c r="AT78" s="254"/>
      <c r="AU78" s="254"/>
      <c r="AV78" s="254"/>
      <c r="AW78" s="254"/>
      <c r="AX78" s="254"/>
      <c r="AY78" s="254"/>
      <c r="AZ78" s="254"/>
      <c r="BA78" s="254"/>
      <c r="BB78" s="254"/>
      <c r="BC78" s="254"/>
      <c r="BD78" s="254"/>
      <c r="BE78" s="254"/>
      <c r="BF78" s="254"/>
      <c r="BG78" s="254"/>
      <c r="BH78" s="254"/>
      <c r="BI78" s="254"/>
      <c r="BJ78" s="254"/>
      <c r="BK78" s="254"/>
      <c r="BL78" s="254"/>
      <c r="BM78" s="254"/>
      <c r="BN78" s="254"/>
      <c r="BO78" s="254"/>
      <c r="BP78" s="254"/>
      <c r="BQ78" s="254"/>
      <c r="BR78" s="254"/>
      <c r="BS78" s="254"/>
      <c r="BT78" s="254"/>
      <c r="BU78" s="254"/>
      <c r="BV78" s="254"/>
      <c r="BW78" s="254"/>
      <c r="BX78" s="254"/>
      <c r="BY78" s="254"/>
      <c r="BZ78" s="254"/>
      <c r="CA78" s="254"/>
      <c r="CB78" s="254"/>
      <c r="CC78" s="254"/>
      <c r="CD78" s="254"/>
      <c r="CE78" s="254"/>
      <c r="CF78" s="254"/>
      <c r="CG78" s="254"/>
      <c r="CH78" s="254"/>
      <c r="CI78" s="254"/>
      <c r="CJ78" s="254"/>
      <c r="CK78" s="254"/>
      <c r="CL78" s="254"/>
      <c r="CM78" s="254"/>
      <c r="CN78" s="254"/>
      <c r="CO78" s="254"/>
      <c r="CP78" s="254"/>
      <c r="CQ78" s="254"/>
      <c r="CR78" s="254"/>
      <c r="CS78" s="254"/>
      <c r="CT78" s="254"/>
      <c r="CU78" s="254"/>
      <c r="CV78" s="254"/>
      <c r="CW78" s="254"/>
      <c r="CX78" s="254"/>
      <c r="CY78" s="254"/>
      <c r="CZ78" s="254"/>
      <c r="DA78" s="254"/>
      <c r="DB78" s="254"/>
      <c r="DC78" s="254"/>
      <c r="DD78" s="254"/>
      <c r="DE78" s="254"/>
      <c r="DF78" s="254"/>
      <c r="DG78" s="254"/>
      <c r="DH78" s="254"/>
      <c r="DI78" s="254"/>
      <c r="DJ78" s="254"/>
      <c r="DK78" s="254"/>
      <c r="DL78" s="254"/>
      <c r="DM78" s="254"/>
      <c r="DN78" s="254"/>
      <c r="DO78" s="254"/>
      <c r="DP78" s="254"/>
      <c r="DQ78" s="254"/>
      <c r="DR78" s="254"/>
      <c r="DS78" s="254"/>
      <c r="DT78" s="254"/>
      <c r="DU78" s="254"/>
      <c r="DV78" s="254"/>
      <c r="DW78" s="254"/>
      <c r="DX78" s="254"/>
      <c r="DY78" s="254"/>
      <c r="DZ78" s="254"/>
      <c r="EA78" s="254"/>
      <c r="EB78" s="254"/>
      <c r="EC78" s="254"/>
      <c r="ED78" s="254"/>
      <c r="EE78" s="254"/>
      <c r="EF78" s="254"/>
      <c r="EG78" s="254"/>
      <c r="EH78" s="254"/>
      <c r="EI78" s="254"/>
      <c r="EJ78" s="254"/>
      <c r="EK78" s="254"/>
      <c r="EL78" s="254"/>
      <c r="EM78" s="254"/>
      <c r="EN78" s="254"/>
      <c r="EO78" s="254"/>
      <c r="EP78" s="254"/>
      <c r="EQ78" s="254"/>
      <c r="ER78" s="254"/>
      <c r="ES78" s="254"/>
      <c r="ET78" s="254"/>
      <c r="EU78" s="254"/>
      <c r="EV78" s="254"/>
      <c r="EW78" s="254"/>
      <c r="EX78" s="254"/>
      <c r="EY78" s="254"/>
      <c r="EZ78" s="254"/>
      <c r="FA78" s="254"/>
      <c r="FB78" s="254"/>
      <c r="FC78" s="254"/>
      <c r="FD78" s="254"/>
      <c r="FE78" s="254"/>
      <c r="FF78" s="254"/>
      <c r="FG78" s="254"/>
      <c r="FH78" s="254"/>
      <c r="FI78" s="254"/>
      <c r="FJ78" s="254"/>
      <c r="FK78" s="254"/>
      <c r="FL78" s="254"/>
      <c r="FM78" s="254"/>
      <c r="FN78" s="254"/>
      <c r="FO78" s="254"/>
      <c r="FP78" s="254"/>
      <c r="FQ78" s="254"/>
      <c r="FR78" s="254"/>
      <c r="FS78" s="254"/>
      <c r="FT78" s="254"/>
      <c r="FU78" s="254"/>
      <c r="FV78" s="254"/>
      <c r="FW78" s="254"/>
      <c r="FX78" s="254"/>
      <c r="FY78" s="254"/>
      <c r="FZ78" s="254"/>
      <c r="GA78" s="264"/>
    </row>
    <row r="79" spans="1:183" x14ac:dyDescent="0.15">
      <c r="A79" s="275" t="s">
        <v>594</v>
      </c>
      <c r="C79" s="446">
        <f ca="1">INDEX($D79:$GA79,1,MATCH(Cust_LeaseTermYears*12,$D$56:$GA$56,0))</f>
        <v>0.20646577477455144</v>
      </c>
      <c r="D79" s="421" t="str">
        <f ca="1">IFERROR(XIRR($C64:D64,$C$58:D$58),"NaN")</f>
        <v>NaN</v>
      </c>
      <c r="E79" s="421" t="str">
        <f ca="1">IFERROR(XIRR($C64:E64,$C$58:E$58),"NaN")</f>
        <v>NaN</v>
      </c>
      <c r="F79" s="421">
        <f ca="1">IFERROR(XIRR($C64:F64,$C$58:F$58),"NaN")</f>
        <v>-0.99999981923201087</v>
      </c>
      <c r="G79" s="421">
        <f ca="1">IFERROR(XIRR($C64:G64,$C$58:G$58),"NaN")</f>
        <v>-0.99998466416545861</v>
      </c>
      <c r="H79" s="421">
        <f ca="1">IFERROR(XIRR($C64:H64,$C$58:H$58),"NaN")</f>
        <v>-0.99980751187249539</v>
      </c>
      <c r="I79" s="421">
        <f ca="1">IFERROR(XIRR($C64:I64,$C$58:I$58),"NaN")</f>
        <v>-0.99890709737082939</v>
      </c>
      <c r="J79" s="421">
        <f ca="1">IFERROR(XIRR($C64:J64,$C$58:J$58),"NaN")</f>
        <v>-0.99630471058189862</v>
      </c>
      <c r="K79" s="421">
        <f ca="1">IFERROR(XIRR($C64:K64,$C$58:K$58),"NaN")</f>
        <v>-0.99084853585809474</v>
      </c>
      <c r="L79" s="421">
        <f ca="1">IFERROR(XIRR($C64:L64,$C$58:L$58),"NaN")</f>
        <v>-0.98178110867738733</v>
      </c>
      <c r="M79" s="421">
        <f ca="1">IFERROR(XIRR($C64:M64,$C$58:M$58),"NaN")</f>
        <v>-0.96861489564180381</v>
      </c>
      <c r="N79" s="421">
        <f ca="1">IFERROR(XIRR($C64:N64,$C$58:N$58),"NaN")</f>
        <v>-0.95138291642069817</v>
      </c>
      <c r="O79" s="421">
        <f ca="1">IFERROR(XIRR($C64:O64,$C$58:O$58),"NaN")</f>
        <v>-0.93059013709425908</v>
      </c>
      <c r="P79" s="421">
        <f ca="1">IFERROR(XIRR($C64:P64,$C$58:P$58),"NaN")</f>
        <v>-0.90581312403082825</v>
      </c>
      <c r="Q79" s="421">
        <f ca="1">IFERROR(XIRR($C64:Q64,$C$58:Q$58),"NaN")</f>
        <v>-0.87860503718256955</v>
      </c>
      <c r="R79" s="421">
        <f ca="1">IFERROR(XIRR($C64:R64,$C$58:R$58),"NaN")</f>
        <v>-0.84942491315305224</v>
      </c>
      <c r="S79" s="421">
        <f ca="1">IFERROR(XIRR($C64:S64,$C$58:S$58),"NaN")</f>
        <v>-0.81886924840509911</v>
      </c>
      <c r="T79" s="421">
        <f ca="1">IFERROR(XIRR($C64:T64,$C$58:T$58),"NaN")</f>
        <v>-0.78783597610890865</v>
      </c>
      <c r="U79" s="421">
        <f ca="1">IFERROR(XIRR($C64:U64,$C$58:U$58),"NaN")</f>
        <v>-0.75629229620099081</v>
      </c>
      <c r="V79" s="421">
        <f ca="1">IFERROR(XIRR($C64:V64,$C$58:V$58),"NaN")</f>
        <v>-0.72472630366682989</v>
      </c>
      <c r="W79" s="421">
        <f ca="1">IFERROR(XIRR($C64:W64,$C$58:W$58),"NaN")</f>
        <v>-0.69331007227301589</v>
      </c>
      <c r="X79" s="421">
        <f ca="1">IFERROR(XIRR($C64:X64,$C$58:X$58),"NaN")</f>
        <v>-0.66237631663680085</v>
      </c>
      <c r="Y79" s="421">
        <f ca="1">IFERROR(XIRR($C64:Y64,$C$58:Y$58),"NaN")</f>
        <v>-0.63200231119990358</v>
      </c>
      <c r="Z79" s="421">
        <f ca="1">IFERROR(XIRR($C64:Z64,$C$58:Z$58),"NaN")</f>
        <v>-0.60233324393630028</v>
      </c>
      <c r="AA79" s="421">
        <f ca="1">IFERROR(XIRR($C64:AA64,$C$58:AA$58),"NaN")</f>
        <v>-0.57353798672556877</v>
      </c>
      <c r="AB79" s="421">
        <f ca="1">IFERROR(XIRR($C64:AB64,$C$58:AB$58),"NaN")</f>
        <v>-0.54468633607029915</v>
      </c>
      <c r="AC79" s="421">
        <f ca="1">IFERROR(XIRR($C64:AC64,$C$58:AC$58),"NaN")</f>
        <v>-0.51691790893673906</v>
      </c>
      <c r="AD79" s="421">
        <f ca="1">IFERROR(XIRR($C64:AD64,$C$58:AD$58),"NaN")</f>
        <v>-0.49017831012606622</v>
      </c>
      <c r="AE79" s="421">
        <f ca="1">IFERROR(XIRR($C64:AE64,$C$58:AE$58),"NaN")</f>
        <v>-0.46446971222758304</v>
      </c>
      <c r="AF79" s="421">
        <f ca="1">IFERROR(XIRR($C64:AF64,$C$58:AF$58),"NaN")</f>
        <v>-0.43985799029469491</v>
      </c>
      <c r="AG79" s="421">
        <f ca="1">IFERROR(XIRR($C64:AG64,$C$58:AG$58),"NaN")</f>
        <v>-0.41623189970850949</v>
      </c>
      <c r="AH79" s="421">
        <f ca="1">IFERROR(XIRR($C64:AH64,$C$58:AH$58),"NaN")</f>
        <v>-0.39360179379582416</v>
      </c>
      <c r="AI79" s="421">
        <f ca="1">IFERROR(XIRR($C64:AI64,$C$58:AI$58),"NaN")</f>
        <v>-0.37190564647316937</v>
      </c>
      <c r="AJ79" s="421">
        <f ca="1">IFERROR(XIRR($C64:AJ64,$C$58:AJ$58),"NaN")</f>
        <v>-0.3511400379240513</v>
      </c>
      <c r="AK79" s="421">
        <f ca="1">IFERROR(XIRR($C64:AK64,$C$58:AK$58),"NaN")</f>
        <v>-0.3312454767525197</v>
      </c>
      <c r="AL79" s="421">
        <f ca="1">IFERROR(XIRR($C64:AL64,$C$58:AL$58),"NaN")</f>
        <v>-0.31219133213162437</v>
      </c>
      <c r="AM79" s="421">
        <f ca="1">IFERROR(XIRR($C64:AM64,$C$58:AM$58),"NaN")</f>
        <v>-0.29396242275834089</v>
      </c>
      <c r="AN79" s="421">
        <f ca="1">IFERROR(XIRR($C64:AN64,$C$58:AN$58),"NaN")</f>
        <v>-0.2759206376969815</v>
      </c>
      <c r="AO79" s="421">
        <f ca="1">IFERROR(XIRR($C64:AO64,$C$58:AO$58),"NaN")</f>
        <v>-0.2586963362991811</v>
      </c>
      <c r="AP79" s="421">
        <f ca="1">IFERROR(XIRR($C64:AP64,$C$58:AP$58),"NaN")</f>
        <v>-0.24223254844546321</v>
      </c>
      <c r="AQ79" s="421">
        <f ca="1">IFERROR(XIRR($C64:AQ64,$C$58:AQ$58),"NaN")</f>
        <v>-0.22649176344275473</v>
      </c>
      <c r="AR79" s="421">
        <f ca="1">IFERROR(XIRR($C64:AR64,$C$58:AR$58),"NaN")</f>
        <v>-0.21146656498312955</v>
      </c>
      <c r="AS79" s="421">
        <f ca="1">IFERROR(XIRR($C64:AS64,$C$58:AS$58),"NaN")</f>
        <v>-0.19708728268742565</v>
      </c>
      <c r="AT79" s="421">
        <f ca="1">IFERROR(XIRR($C64:AT64,$C$58:AT$58),"NaN")</f>
        <v>-0.18333007171750071</v>
      </c>
      <c r="AU79" s="421">
        <f ca="1">IFERROR(XIRR($C64:AU64,$C$58:AU$58),"NaN")</f>
        <v>-0.17015574164688585</v>
      </c>
      <c r="AV79" s="421">
        <f ca="1">IFERROR(XIRR($C64:AV64,$C$58:AV$58),"NaN")</f>
        <v>-0.15754182897508148</v>
      </c>
      <c r="AW79" s="421">
        <f ca="1">IFERROR(XIRR($C64:AW64,$C$58:AW$58),"NaN")</f>
        <v>-0.14545417912304401</v>
      </c>
      <c r="AX79" s="421">
        <f ca="1">IFERROR(XIRR($C64:AX64,$C$58:AX$58),"NaN")</f>
        <v>-0.13386739157140251</v>
      </c>
      <c r="AY79" s="421">
        <f ca="1">IFERROR(XIRR($C64:AY64,$C$58:AY$58),"NaN")</f>
        <v>-0.12276114858686923</v>
      </c>
      <c r="AZ79" s="421">
        <f ca="1">IFERROR(XIRR($C64:AZ64,$C$58:AZ$58),"NaN")</f>
        <v>-0.11174711324274539</v>
      </c>
      <c r="BA79" s="421">
        <f ca="1">IFERROR(XIRR($C64:BA64,$C$58:BA$58),"NaN")</f>
        <v>-0.10119940005242825</v>
      </c>
      <c r="BB79" s="421">
        <f ca="1">IFERROR(XIRR($C64:BB64,$C$58:BB$58),"NaN")</f>
        <v>-9.1090074181556721E-2</v>
      </c>
      <c r="BC79" s="421">
        <f ca="1">IFERROR(XIRR($C64:BC64,$C$58:BC$58),"NaN")</f>
        <v>-8.1396690011024495E-2</v>
      </c>
      <c r="BD79" s="421">
        <f ca="1">IFERROR(XIRR($C64:BD64,$C$58:BD$58),"NaN")</f>
        <v>-7.2103765606880213E-2</v>
      </c>
      <c r="BE79" s="421">
        <f ca="1">IFERROR(XIRR($C64:BE64,$C$58:BE$58),"NaN")</f>
        <v>-6.3184055685996998E-2</v>
      </c>
      <c r="BF79" s="421">
        <f ca="1">IFERROR(XIRR($C64:BF64,$C$58:BF$58),"NaN")</f>
        <v>-5.4620519280433655E-2</v>
      </c>
      <c r="BG79" s="421">
        <f ca="1">IFERROR(XIRR($C64:BG64,$C$58:BG$58),"NaN")</f>
        <v>-4.6394094824790955E-2</v>
      </c>
      <c r="BH79" s="421">
        <f ca="1">IFERROR(XIRR($C64:BH64,$C$58:BH$58),"NaN")</f>
        <v>-3.8489392399787922E-2</v>
      </c>
      <c r="BI79" s="421">
        <f ca="1">IFERROR(XIRR($C64:BI64,$C$58:BI$58),"NaN")</f>
        <v>-3.0889865756034852E-2</v>
      </c>
      <c r="BJ79" s="421">
        <f ca="1">IFERROR(XIRR($C64:BJ64,$C$58:BJ$58),"NaN")</f>
        <v>-2.3581108450889586E-2</v>
      </c>
      <c r="BK79" s="421">
        <f ca="1">IFERROR(XIRR($C64:BK64,$C$58:BK$58),"NaN")</f>
        <v>-1.6549816727638243E-2</v>
      </c>
      <c r="BL79" s="421">
        <f ca="1">IFERROR(XIRR($C64:BL64,$C$58:BL$58),"NaN")</f>
        <v>-9.5520943403244012E-3</v>
      </c>
      <c r="BM79" s="421">
        <f ca="1">IFERROR(XIRR($C64:BM64,$C$58:BM$58),"NaN")</f>
        <v>-2.8235763311386108E-3</v>
      </c>
      <c r="BN79" s="421">
        <f ca="1">IFERROR(XIRR($C64:BN64,$C$58:BN$58),"NaN")</f>
        <v>3.6490529775619505E-3</v>
      </c>
      <c r="BO79" s="421">
        <f ca="1">IFERROR(XIRR($C64:BO64,$C$58:BO$58),"NaN")</f>
        <v>9.8780065774917609E-3</v>
      </c>
      <c r="BP79" s="421">
        <f ca="1">IFERROR(XIRR($C64:BP64,$C$58:BP$58),"NaN")</f>
        <v>1.587554514408112E-2</v>
      </c>
      <c r="BQ79" s="421">
        <f ca="1">IFERROR(XIRR($C64:BQ64,$C$58:BQ$58),"NaN")</f>
        <v>2.1652212738990786E-2</v>
      </c>
      <c r="BR79" s="421">
        <f ca="1">IFERROR(XIRR($C64:BR64,$C$58:BR$58),"NaN")</f>
        <v>2.721855342388153E-2</v>
      </c>
      <c r="BS79" s="421">
        <f ca="1">IFERROR(XIRR($C64:BS64,$C$58:BS$58),"NaN")</f>
        <v>3.2583847641944899E-2</v>
      </c>
      <c r="BT79" s="421">
        <f ca="1">IFERROR(XIRR($C64:BT64,$C$58:BT$58),"NaN")</f>
        <v>3.775763809680939E-2</v>
      </c>
      <c r="BU79" s="421">
        <f ca="1">IFERROR(XIRR($C64:BU64,$C$58:BU$58),"NaN")</f>
        <v>4.2748025059700018E-2</v>
      </c>
      <c r="BV79" s="421">
        <f ca="1">IFERROR(XIRR($C64:BV64,$C$58:BV$58),"NaN")</f>
        <v>4.7563078999519351E-2</v>
      </c>
      <c r="BW79" s="421">
        <f ca="1">IFERROR(XIRR($C64:BW64,$C$58:BW$58),"NaN")</f>
        <v>5.2211055159568781E-2</v>
      </c>
      <c r="BX79" s="421">
        <f ca="1">IFERROR(XIRR($C64:BX64,$C$58:BX$58),"NaN")</f>
        <v>5.6852105259895327E-2</v>
      </c>
      <c r="BY79" s="421">
        <f ca="1">IFERROR(XIRR($C64:BY64,$C$58:BY$58),"NaN")</f>
        <v>6.1330488324165336E-2</v>
      </c>
      <c r="BZ79" s="421">
        <f ca="1">IFERROR(XIRR($C64:BZ64,$C$58:BZ$58),"NaN")</f>
        <v>6.5652778744697562E-2</v>
      </c>
      <c r="CA79" s="421">
        <f ca="1">IFERROR(XIRR($C64:CA64,$C$58:CA$58),"NaN")</f>
        <v>6.9825819134712239E-2</v>
      </c>
      <c r="CB79" s="421">
        <f ca="1">IFERROR(XIRR($C64:CB64,$C$58:CB$58),"NaN")</f>
        <v>7.3857614398002633E-2</v>
      </c>
      <c r="CC79" s="421">
        <f ca="1">IFERROR(XIRR($C64:CC64,$C$58:CC$58),"NaN")</f>
        <v>7.775278985500339E-2</v>
      </c>
      <c r="CD79" s="421">
        <f ca="1">IFERROR(XIRR($C64:CD64,$C$58:CD$58),"NaN")</f>
        <v>8.1517919898033156E-2</v>
      </c>
      <c r="CE79" s="421">
        <f ca="1">IFERROR(XIRR($C64:CE64,$C$58:CE$58),"NaN")</f>
        <v>8.5157701373100261E-2</v>
      </c>
      <c r="CF79" s="421">
        <f ca="1">IFERROR(XIRR($C64:CF64,$C$58:CF$58),"NaN")</f>
        <v>8.8678136467933655E-2</v>
      </c>
      <c r="CG79" s="421">
        <f ca="1">IFERROR(XIRR($C64:CG64,$C$58:CG$58),"NaN")</f>
        <v>9.2083349823951749E-2</v>
      </c>
      <c r="CH79" s="421">
        <f ca="1">IFERROR(XIRR($C64:CH64,$C$58:CH$58),"NaN")</f>
        <v>9.5378020405769329E-2</v>
      </c>
      <c r="CI79" s="421">
        <f ca="1">IFERROR(XIRR($C64:CI64,$C$58:CI$58),"NaN")</f>
        <v>9.8567396402359009E-2</v>
      </c>
      <c r="CJ79" s="421">
        <f ca="1">IFERROR(XIRR($C64:CJ64,$C$58:CJ$58),"NaN")</f>
        <v>0.10176083445549011</v>
      </c>
      <c r="CK79" s="421">
        <f ca="1">IFERROR(XIRR($C64:CK64,$C$58:CK$58),"NaN")</f>
        <v>0.10485137104988101</v>
      </c>
      <c r="CL79" s="421">
        <f ca="1">IFERROR(XIRR($C64:CL64,$C$58:CL$58),"NaN")</f>
        <v>0.10784239172935486</v>
      </c>
      <c r="CM79" s="421">
        <f ca="1">IFERROR(XIRR($C64:CM64,$C$58:CM$58),"NaN")</f>
        <v>0.11073789000511167</v>
      </c>
      <c r="CN79" s="421">
        <f ca="1">IFERROR(XIRR($C64:CN64,$C$58:CN$58),"NaN")</f>
        <v>0.11354412436485292</v>
      </c>
      <c r="CO79" s="421">
        <f ca="1">IFERROR(XIRR($C64:CO64,$C$58:CO$58),"NaN")</f>
        <v>0.11626222729682922</v>
      </c>
      <c r="CP79" s="421">
        <f ca="1">IFERROR(XIRR($C64:CP64,$C$58:CP$58),"NaN")</f>
        <v>0.11889645457267761</v>
      </c>
      <c r="CQ79" s="421">
        <f ca="1">IFERROR(XIRR($C64:CQ64,$C$58:CQ$58),"NaN")</f>
        <v>0.12144923806190491</v>
      </c>
      <c r="CR79" s="421">
        <f ca="1">IFERROR(XIRR($C64:CR64,$C$58:CR$58),"NaN")</f>
        <v>0.12392447590827943</v>
      </c>
      <c r="CS79" s="421">
        <f ca="1">IFERROR(XIRR($C64:CS64,$C$58:CS$58),"NaN")</f>
        <v>0.12632434964179989</v>
      </c>
      <c r="CT79" s="421">
        <f ca="1">IFERROR(XIRR($C64:CT64,$C$58:CT$58),"NaN")</f>
        <v>0.12865168452262879</v>
      </c>
      <c r="CU79" s="421">
        <f ca="1">IFERROR(XIRR($C64:CU64,$C$58:CU$58),"NaN")</f>
        <v>0.13090992569923401</v>
      </c>
      <c r="CV79" s="421">
        <f ca="1">IFERROR(XIRR($C64:CV64,$C$58:CV$58),"NaN")</f>
        <v>0.13317622542381283</v>
      </c>
      <c r="CW79" s="421">
        <f ca="1">IFERROR(XIRR($C64:CW64,$C$58:CW$58),"NaN")</f>
        <v>0.13537476658821107</v>
      </c>
      <c r="CX79" s="421">
        <f ca="1">IFERROR(XIRR($C64:CX64,$C$58:CX$58),"NaN")</f>
        <v>0.13750734925270083</v>
      </c>
      <c r="CY79" s="421">
        <f ca="1">IFERROR(XIRR($C64:CY64,$C$58:CY$58),"NaN")</f>
        <v>0.13957641720771793</v>
      </c>
      <c r="CZ79" s="421">
        <f ca="1">IFERROR(XIRR($C64:CZ64,$C$58:CZ$58),"NaN")</f>
        <v>0.14158647656440737</v>
      </c>
      <c r="DA79" s="421">
        <f ca="1">IFERROR(XIRR($C64:DA64,$C$58:DA$58),"NaN")</f>
        <v>0.14353752732276917</v>
      </c>
      <c r="DB79" s="421">
        <f ca="1">IFERROR(XIRR($C64:DB64,$C$58:DB$58),"NaN")</f>
        <v>0.14543239474296568</v>
      </c>
      <c r="DC79" s="421">
        <f ca="1">IFERROR(XIRR($C64:DC64,$C$58:DC$58),"NaN")</f>
        <v>0.14727242588996889</v>
      </c>
      <c r="DD79" s="421">
        <f ca="1">IFERROR(XIRR($C64:DD64,$C$58:DD$58),"NaN")</f>
        <v>0.14906020760536201</v>
      </c>
      <c r="DE79" s="421">
        <f ca="1">IFERROR(XIRR($C64:DE64,$C$58:DE$58),"NaN")</f>
        <v>0.15079693198204044</v>
      </c>
      <c r="DF79" s="421">
        <f ca="1">IFERROR(XIRR($C64:DF64,$C$58:DF$58),"NaN")</f>
        <v>0.15248436331748957</v>
      </c>
      <c r="DG79" s="421">
        <f ca="1">IFERROR(XIRR($C64:DG64,$C$58:DG$58),"NaN")</f>
        <v>0.15412486195564271</v>
      </c>
      <c r="DH79" s="421">
        <f ca="1">IFERROR(XIRR($C64:DH64,$C$58:DH$58),"NaN")</f>
        <v>0.15577432513237002</v>
      </c>
      <c r="DI79" s="421">
        <f ca="1">IFERROR(XIRR($C64:DI64,$C$58:DI$58),"NaN")</f>
        <v>0.15737763047218326</v>
      </c>
      <c r="DJ79" s="421">
        <f ca="1">IFERROR(XIRR($C64:DJ64,$C$58:DJ$58),"NaN")</f>
        <v>0.15893573164939886</v>
      </c>
      <c r="DK79" s="421">
        <f ca="1">IFERROR(XIRR($C64:DK64,$C$58:DK$58),"NaN")</f>
        <v>0.16045019030570989</v>
      </c>
      <c r="DL79" s="421">
        <f ca="1">IFERROR(XIRR($C64:DL64,$C$58:DL$58),"NaN")</f>
        <v>0.1619243085384369</v>
      </c>
      <c r="DM79" s="421">
        <f ca="1">IFERROR(XIRR($C64:DM64,$C$58:DM$58),"NaN")</f>
        <v>0.16335766911506658</v>
      </c>
      <c r="DN79" s="421">
        <f ca="1">IFERROR(XIRR($C64:DN64,$C$58:DN$58),"NaN")</f>
        <v>0.16475221514701843</v>
      </c>
      <c r="DO79" s="421">
        <f ca="1">IFERROR(XIRR($C64:DO64,$C$58:DO$58),"NaN")</f>
        <v>0.16610866189002996</v>
      </c>
      <c r="DP79" s="421">
        <f ca="1">IFERROR(XIRR($C64:DP64,$C$58:DP$58),"NaN")</f>
        <v>0.16742883324623112</v>
      </c>
      <c r="DQ79" s="421">
        <f ca="1">IFERROR(XIRR($C64:DQ64,$C$58:DQ$58),"NaN")</f>
        <v>0.16871336102485657</v>
      </c>
      <c r="DR79" s="421">
        <f ca="1">IFERROR(XIRR($C64:DR64,$C$58:DR$58),"NaN")</f>
        <v>0.16996341347694396</v>
      </c>
      <c r="DS79" s="421">
        <f ca="1">IFERROR(XIRR($C64:DS64,$C$58:DS$58),"NaN")</f>
        <v>0.17118062376976009</v>
      </c>
      <c r="DT79" s="421">
        <f ca="1">IFERROR(XIRR($C64:DT64,$C$58:DT$58),"NaN")</f>
        <v>0.172406405210495</v>
      </c>
      <c r="DU79" s="421">
        <f ca="1">IFERROR(XIRR($C64:DU64,$C$58:DU$58),"NaN")</f>
        <v>0.1735998213291168</v>
      </c>
      <c r="DV79" s="421">
        <f ca="1">IFERROR(XIRR($C64:DV64,$C$58:DV$58),"NaN")</f>
        <v>0.17476139664649962</v>
      </c>
      <c r="DW79" s="421">
        <f ca="1">IFERROR(XIRR($C64:DW64,$C$58:DW$58),"NaN")</f>
        <v>0.17589214444160464</v>
      </c>
      <c r="DX79" s="421">
        <f ca="1">IFERROR(XIRR($C64:DX64,$C$58:DX$58),"NaN")</f>
        <v>0.17699405550956726</v>
      </c>
      <c r="DY79" s="421">
        <f ca="1">IFERROR(XIRR($C64:DY64,$C$58:DY$58),"NaN")</f>
        <v>0.17806704640388493</v>
      </c>
      <c r="DZ79" s="421">
        <f ca="1">IFERROR(XIRR($C64:DZ64,$C$58:DZ$58),"NaN")</f>
        <v>0.17911251187324526</v>
      </c>
      <c r="EA79" s="421">
        <f ca="1">IFERROR(XIRR($C64:EA64,$C$58:EA$58),"NaN")</f>
        <v>0.18013084530830389</v>
      </c>
      <c r="EB79" s="421">
        <f ca="1">IFERROR(XIRR($C64:EB64,$C$58:EB$58),"NaN")</f>
        <v>0.1811233460903168</v>
      </c>
      <c r="EC79" s="421">
        <f ca="1">IFERROR(XIRR($C64:EC64,$C$58:EC$58),"NaN")</f>
        <v>0.18209034800529483</v>
      </c>
      <c r="ED79" s="421">
        <f ca="1">IFERROR(XIRR($C64:ED64,$C$58:ED$58),"NaN")</f>
        <v>0.18303263783454898</v>
      </c>
      <c r="EE79" s="421">
        <f ca="1">IFERROR(XIRR($C64:EE64,$C$58:EE$58),"NaN")</f>
        <v>0.18395139575004577</v>
      </c>
      <c r="EF79" s="421">
        <f ca="1">IFERROR(XIRR($C64:EF64,$C$58:EF$58),"NaN")</f>
        <v>0.1842263162136078</v>
      </c>
      <c r="EG79" s="421">
        <f ca="1">IFERROR(XIRR($C64:EG64,$C$58:EG$58),"NaN")</f>
        <v>0.18449651598930361</v>
      </c>
      <c r="EH79" s="421">
        <f ca="1">IFERROR(XIRR($C64:EH64,$C$58:EH$58),"NaN")</f>
        <v>0.18476194739341742</v>
      </c>
      <c r="EI79" s="421">
        <f ca="1">IFERROR(XIRR($C64:EI64,$C$58:EI$58),"NaN")</f>
        <v>0.18502270579338076</v>
      </c>
      <c r="EJ79" s="421">
        <f ca="1">IFERROR(XIRR($C64:EJ64,$C$58:EJ$58),"NaN")</f>
        <v>0.1852792322635651</v>
      </c>
      <c r="EK79" s="421">
        <f ca="1">IFERROR(XIRR($C64:EK64,$C$58:EK$58),"NaN")</f>
        <v>0.18553124070167543</v>
      </c>
      <c r="EL79" s="421">
        <f ca="1">IFERROR(XIRR($C64:EL64,$C$58:EL$58),"NaN")</f>
        <v>0.18577893376350404</v>
      </c>
      <c r="EM79" s="421">
        <f ca="1">IFERROR(XIRR($C64:EM64,$C$58:EM$58),"NaN")</f>
        <v>0.18602226376533512</v>
      </c>
      <c r="EN79" s="421">
        <f ca="1">IFERROR(XIRR($C64:EN64,$C$58:EN$58),"NaN")</f>
        <v>0.18626143336296083</v>
      </c>
      <c r="EO79" s="421">
        <f ca="1">IFERROR(XIRR($C64:EO64,$C$58:EO$58),"NaN")</f>
        <v>0.18649639487266542</v>
      </c>
      <c r="EP79" s="421">
        <f ca="1">IFERROR(XIRR($C64:EP64,$C$58:EP$58),"NaN")</f>
        <v>0.18672723174095152</v>
      </c>
      <c r="EQ79" s="421">
        <f ca="1">IFERROR(XIRR($C64:EQ64,$C$58:EQ$58),"NaN")</f>
        <v>0.18695412278175355</v>
      </c>
      <c r="ER79" s="421">
        <f ca="1">IFERROR(XIRR($C64:ER64,$C$58:ER$58),"NaN")</f>
        <v>0.18773153424263003</v>
      </c>
      <c r="ES79" s="421">
        <f ca="1">IFERROR(XIRR($C64:ES64,$C$58:ES$58),"NaN")</f>
        <v>0.18848978877067565</v>
      </c>
      <c r="ET79" s="421">
        <f ca="1">IFERROR(XIRR($C64:ET64,$C$58:ET$58),"NaN")</f>
        <v>0.18922910094261169</v>
      </c>
      <c r="EU79" s="421">
        <f ca="1">IFERROR(XIRR($C64:EU64,$C$58:EU$58),"NaN")</f>
        <v>0.18995006680488585</v>
      </c>
      <c r="EV79" s="421">
        <f ca="1">IFERROR(XIRR($C64:EV64,$C$58:EV$58),"NaN")</f>
        <v>0.19065421223640439</v>
      </c>
      <c r="EW79" s="421">
        <f ca="1">IFERROR(XIRR($C64:EW64,$C$58:EW$58),"NaN")</f>
        <v>0.19134106040000917</v>
      </c>
      <c r="EX79" s="421">
        <f ca="1">IFERROR(XIRR($C64:EX64,$C$58:EX$58),"NaN")</f>
        <v>0.19201143383979802</v>
      </c>
      <c r="EY79" s="421">
        <f ca="1">IFERROR(XIRR($C64:EY64,$C$58:EY$58),"NaN")</f>
        <v>0.19266547560691835</v>
      </c>
      <c r="EZ79" s="421">
        <f ca="1">IFERROR(XIRR($C64:EZ64,$C$58:EZ$58),"NaN")</f>
        <v>0.19330399632453918</v>
      </c>
      <c r="FA79" s="421">
        <f ca="1">IFERROR(XIRR($C64:FA64,$C$58:FA$58),"NaN")</f>
        <v>0.19392712712287904</v>
      </c>
      <c r="FB79" s="421">
        <f ca="1">IFERROR(XIRR($C64:FB64,$C$58:FB$58),"NaN")</f>
        <v>0.1945353090763092</v>
      </c>
      <c r="FC79" s="421">
        <f ca="1">IFERROR(XIRR($C64:FC64,$C$58:FC$58),"NaN")</f>
        <v>0.19512926936149597</v>
      </c>
      <c r="FD79" s="421">
        <f ca="1">IFERROR(XIRR($C64:FD64,$C$58:FD$58),"NaN")</f>
        <v>0.19572914242744449</v>
      </c>
      <c r="FE79" s="421">
        <f ca="1">IFERROR(XIRR($C64:FE64,$C$58:FE$58),"NaN")</f>
        <v>0.196314936876297</v>
      </c>
      <c r="FF79" s="421">
        <f ca="1">IFERROR(XIRR($C64:FF64,$C$58:FF$58),"NaN")</f>
        <v>0.1968867599964142</v>
      </c>
      <c r="FG79" s="421">
        <f ca="1">IFERROR(XIRR($C64:FG64,$C$58:FG$58),"NaN")</f>
        <v>0.19744500517845159</v>
      </c>
      <c r="FH79" s="421">
        <f ca="1">IFERROR(XIRR($C64:FH64,$C$58:FH$58),"NaN")</f>
        <v>0.19799086451530457</v>
      </c>
      <c r="FI79" s="421">
        <f ca="1">IFERROR(XIRR($C64:FI64,$C$58:FI$58),"NaN")</f>
        <v>0.19852387309074404</v>
      </c>
      <c r="FJ79" s="421">
        <f ca="1">IFERROR(XIRR($C64:FJ64,$C$58:FJ$58),"NaN")</f>
        <v>0.19904466271400453</v>
      </c>
      <c r="FK79" s="421">
        <f ca="1">IFERROR(XIRR($C64:FK64,$C$58:FK$58),"NaN")</f>
        <v>0.19955329298973085</v>
      </c>
      <c r="FL79" s="421">
        <f ca="1">IFERROR(XIRR($C64:FL64,$C$58:FL$58),"NaN")</f>
        <v>0.20005034804344179</v>
      </c>
      <c r="FM79" s="421">
        <f ca="1">IFERROR(XIRR($C64:FM64,$C$58:FM$58),"NaN")</f>
        <v>0.20053591132164003</v>
      </c>
      <c r="FN79" s="421">
        <f ca="1">IFERROR(XIRR($C64:FN64,$C$58:FN$58),"NaN")</f>
        <v>0.20101026892662052</v>
      </c>
      <c r="FO79" s="421">
        <f ca="1">IFERROR(XIRR($C64:FO64,$C$58:FO$58),"NaN")</f>
        <v>0.20147398114204407</v>
      </c>
      <c r="FP79" s="421">
        <f ca="1">IFERROR(XIRR($C64:FP64,$C$58:FP$58),"NaN")</f>
        <v>0.20194277167320254</v>
      </c>
      <c r="FQ79" s="421">
        <f ca="1">IFERROR(XIRR($C64:FQ64,$C$58:FQ$58),"NaN")</f>
        <v>0.20240100026130675</v>
      </c>
      <c r="FR79" s="421">
        <f ca="1">IFERROR(XIRR($C64:FR64,$C$58:FR$58),"NaN")</f>
        <v>0.20284871459007262</v>
      </c>
      <c r="FS79" s="421">
        <f ca="1">IFERROR(XIRR($C64:FS64,$C$58:FS$58),"NaN")</f>
        <v>0.20328620076179504</v>
      </c>
      <c r="FT79" s="421">
        <f ca="1">IFERROR(XIRR($C64:FT64,$C$58:FT$58),"NaN")</f>
        <v>0.2037141621112824</v>
      </c>
      <c r="FU79" s="421">
        <f ca="1">IFERROR(XIRR($C64:FU64,$C$58:FU$58),"NaN")</f>
        <v>0.2041324198246002</v>
      </c>
      <c r="FV79" s="421">
        <f ca="1">IFERROR(XIRR($C64:FV64,$C$58:FV$58),"NaN")</f>
        <v>0.20454145073890692</v>
      </c>
      <c r="FW79" s="421">
        <f ca="1">IFERROR(XIRR($C64:FW64,$C$58:FW$58),"NaN")</f>
        <v>0.20494126677513122</v>
      </c>
      <c r="FX79" s="421">
        <f ca="1">IFERROR(XIRR($C64:FX64,$C$58:FX$58),"NaN")</f>
        <v>0.20533232092857365</v>
      </c>
      <c r="FY79" s="421">
        <f ca="1">IFERROR(XIRR($C64:FY64,$C$58:FY$58),"NaN")</f>
        <v>0.20571463704109194</v>
      </c>
      <c r="FZ79" s="421">
        <f ca="1">IFERROR(XIRR($C64:FZ64,$C$58:FZ$58),"NaN")</f>
        <v>0.20608845353126529</v>
      </c>
      <c r="GA79" s="422">
        <f ca="1">IFERROR(XIRR($C64:GA64,$C$58:GA$58),"NaN")</f>
        <v>0.20646577477455144</v>
      </c>
    </row>
    <row r="80" spans="1:183" x14ac:dyDescent="0.15">
      <c r="A80" s="279" t="s">
        <v>302</v>
      </c>
      <c r="C80" s="447">
        <f ca="1">INDEX($D80:$GA80,1,MATCH(Cust_LeaseTermYears*12,$D$56:$GA$56,0))</f>
        <v>0.15000000596046451</v>
      </c>
      <c r="D80" s="423" t="str">
        <f ca="1">IFERROR(XIRR($C68:D68,$C$58:D$58),"NaN")</f>
        <v>NaN</v>
      </c>
      <c r="E80" s="423" t="str">
        <f ca="1">IFERROR(XIRR($C68:E68,$C$58:E$58),"NaN")</f>
        <v>NaN</v>
      </c>
      <c r="F80" s="423">
        <f ca="1">IFERROR(XIRR($C68:F68,$C$58:F$58),"NaN")</f>
        <v>-0.99999981923201087</v>
      </c>
      <c r="G80" s="423">
        <f ca="1">IFERROR(XIRR($C68:G68,$C$58:G$58),"NaN")</f>
        <v>-0.99998466416545861</v>
      </c>
      <c r="H80" s="423">
        <f ca="1">IFERROR(XIRR($C68:H68,$C$58:H$58),"NaN")</f>
        <v>-0.99980751187249539</v>
      </c>
      <c r="I80" s="423">
        <f ca="1">IFERROR(XIRR($C68:I68,$C$58:I$58),"NaN")</f>
        <v>-0.99890709737082939</v>
      </c>
      <c r="J80" s="423">
        <f ca="1">IFERROR(XIRR($C68:J68,$C$58:J$58),"NaN")</f>
        <v>-0.99630471058189862</v>
      </c>
      <c r="K80" s="423">
        <f ca="1">IFERROR(XIRR($C68:K68,$C$58:K$58),"NaN")</f>
        <v>-0.99084853585809474</v>
      </c>
      <c r="L80" s="423">
        <f ca="1">IFERROR(XIRR($C68:L68,$C$58:L$58),"NaN")</f>
        <v>-0.98178110867738733</v>
      </c>
      <c r="M80" s="423">
        <f ca="1">IFERROR(XIRR($C68:M68,$C$58:M$58),"NaN")</f>
        <v>-0.96861489564180381</v>
      </c>
      <c r="N80" s="423">
        <f ca="1">IFERROR(XIRR($C68:N68,$C$58:N$58),"NaN")</f>
        <v>-0.95138291642069817</v>
      </c>
      <c r="O80" s="423">
        <f ca="1">IFERROR(XIRR($C68:O68,$C$58:O$58),"NaN")</f>
        <v>-0.93059013709425908</v>
      </c>
      <c r="P80" s="423">
        <f ca="1">IFERROR(XIRR($C68:P68,$C$58:P$58),"NaN")</f>
        <v>-0.90581312403082825</v>
      </c>
      <c r="Q80" s="423">
        <f ca="1">IFERROR(XIRR($C68:Q68,$C$58:Q$58),"NaN")</f>
        <v>-0.87860503718256955</v>
      </c>
      <c r="R80" s="423">
        <f ca="1">IFERROR(XIRR($C68:R68,$C$58:R$58),"NaN")</f>
        <v>-0.84942491315305224</v>
      </c>
      <c r="S80" s="423">
        <f ca="1">IFERROR(XIRR($C68:S68,$C$58:S$58),"NaN")</f>
        <v>-0.81886924840509911</v>
      </c>
      <c r="T80" s="423">
        <f ca="1">IFERROR(XIRR($C68:T68,$C$58:T$58),"NaN")</f>
        <v>-0.78783597610890865</v>
      </c>
      <c r="U80" s="423">
        <f ca="1">IFERROR(XIRR($C68:U68,$C$58:U$58),"NaN")</f>
        <v>-0.75629229620099081</v>
      </c>
      <c r="V80" s="423">
        <f ca="1">IFERROR(XIRR($C68:V68,$C$58:V$58),"NaN")</f>
        <v>-0.72472630366682989</v>
      </c>
      <c r="W80" s="423">
        <f ca="1">IFERROR(XIRR($C68:W68,$C$58:W$58),"NaN")</f>
        <v>-0.69331007227301589</v>
      </c>
      <c r="X80" s="423">
        <f ca="1">IFERROR(XIRR($C68:X68,$C$58:X$58),"NaN")</f>
        <v>-0.66237631663680085</v>
      </c>
      <c r="Y80" s="423">
        <f ca="1">IFERROR(XIRR($C68:Y68,$C$58:Y$58),"NaN")</f>
        <v>-0.63200231119990358</v>
      </c>
      <c r="Z80" s="423">
        <f ca="1">IFERROR(XIRR($C68:Z68,$C$58:Z$58),"NaN")</f>
        <v>-0.60233324393630028</v>
      </c>
      <c r="AA80" s="423">
        <f ca="1">IFERROR(XIRR($C68:AA68,$C$58:AA$58),"NaN")</f>
        <v>-0.57353798672556877</v>
      </c>
      <c r="AB80" s="423">
        <f ca="1">IFERROR(XIRR($C68:AB68,$C$58:AB$58),"NaN")</f>
        <v>-0.54468633607029915</v>
      </c>
      <c r="AC80" s="423">
        <f ca="1">IFERROR(XIRR($C68:AC68,$C$58:AC$58),"NaN")</f>
        <v>-0.51691790893673906</v>
      </c>
      <c r="AD80" s="423">
        <f ca="1">IFERROR(XIRR($C68:AD68,$C$58:AD$58),"NaN")</f>
        <v>-0.49017831012606622</v>
      </c>
      <c r="AE80" s="423">
        <f ca="1">IFERROR(XIRR($C68:AE68,$C$58:AE$58),"NaN")</f>
        <v>-0.46446971222758304</v>
      </c>
      <c r="AF80" s="423">
        <f ca="1">IFERROR(XIRR($C68:AF68,$C$58:AF$58),"NaN")</f>
        <v>-0.43985799029469491</v>
      </c>
      <c r="AG80" s="423">
        <f ca="1">IFERROR(XIRR($C68:AG68,$C$58:AG$58),"NaN")</f>
        <v>-0.41623189970850949</v>
      </c>
      <c r="AH80" s="423">
        <f ca="1">IFERROR(XIRR($C68:AH68,$C$58:AH$58),"NaN")</f>
        <v>-0.39360179379582416</v>
      </c>
      <c r="AI80" s="423">
        <f ca="1">IFERROR(XIRR($C68:AI68,$C$58:AI$58),"NaN")</f>
        <v>-0.37190564647316937</v>
      </c>
      <c r="AJ80" s="423">
        <f ca="1">IFERROR(XIRR($C68:AJ68,$C$58:AJ$58),"NaN")</f>
        <v>-0.3511400379240513</v>
      </c>
      <c r="AK80" s="423">
        <f ca="1">IFERROR(XIRR($C68:AK68,$C$58:AK$58),"NaN")</f>
        <v>-0.3312454767525197</v>
      </c>
      <c r="AL80" s="423">
        <f ca="1">IFERROR(XIRR($C68:AL68,$C$58:AL$58),"NaN")</f>
        <v>-0.31219133213162437</v>
      </c>
      <c r="AM80" s="423">
        <f ca="1">IFERROR(XIRR($C68:AM68,$C$58:AM$58),"NaN")</f>
        <v>-0.29396242275834089</v>
      </c>
      <c r="AN80" s="423">
        <f ca="1">IFERROR(XIRR($C68:AN68,$C$58:AN$58),"NaN")</f>
        <v>-0.2759206376969815</v>
      </c>
      <c r="AO80" s="423">
        <f ca="1">IFERROR(XIRR($C68:AO68,$C$58:AO$58),"NaN")</f>
        <v>-0.2586963362991811</v>
      </c>
      <c r="AP80" s="423">
        <f ca="1">IFERROR(XIRR($C68:AP68,$C$58:AP$58),"NaN")</f>
        <v>-0.24223254844546321</v>
      </c>
      <c r="AQ80" s="423">
        <f ca="1">IFERROR(XIRR($C68:AQ68,$C$58:AQ$58),"NaN")</f>
        <v>-0.22649176344275473</v>
      </c>
      <c r="AR80" s="423">
        <f ca="1">IFERROR(XIRR($C68:AR68,$C$58:AR$58),"NaN")</f>
        <v>-0.21146656498312955</v>
      </c>
      <c r="AS80" s="423">
        <f ca="1">IFERROR(XIRR($C68:AS68,$C$58:AS$58),"NaN")</f>
        <v>-0.19708728268742565</v>
      </c>
      <c r="AT80" s="423">
        <f ca="1">IFERROR(XIRR($C68:AT68,$C$58:AT$58),"NaN")</f>
        <v>-0.18333007171750071</v>
      </c>
      <c r="AU80" s="423">
        <f ca="1">IFERROR(XIRR($C68:AU68,$C$58:AU$58),"NaN")</f>
        <v>-0.17015574164688585</v>
      </c>
      <c r="AV80" s="423">
        <f ca="1">IFERROR(XIRR($C68:AV68,$C$58:AV$58),"NaN")</f>
        <v>-0.15754182897508148</v>
      </c>
      <c r="AW80" s="423">
        <f ca="1">IFERROR(XIRR($C68:AW68,$C$58:AW$58),"NaN")</f>
        <v>-0.14545417912304401</v>
      </c>
      <c r="AX80" s="423">
        <f ca="1">IFERROR(XIRR($C68:AX68,$C$58:AX$58),"NaN")</f>
        <v>-0.13386739157140251</v>
      </c>
      <c r="AY80" s="423">
        <f ca="1">IFERROR(XIRR($C68:AY68,$C$58:AY$58),"NaN")</f>
        <v>-0.12276114858686923</v>
      </c>
      <c r="AZ80" s="423">
        <f ca="1">IFERROR(XIRR($C68:AZ68,$C$58:AZ$58),"NaN")</f>
        <v>-0.11174711324274539</v>
      </c>
      <c r="BA80" s="423">
        <f ca="1">IFERROR(XIRR($C68:BA68,$C$58:BA$58),"NaN")</f>
        <v>-0.10119940005242825</v>
      </c>
      <c r="BB80" s="423">
        <f ca="1">IFERROR(XIRR($C68:BB68,$C$58:BB$58),"NaN")</f>
        <v>-9.1090074181556721E-2</v>
      </c>
      <c r="BC80" s="423">
        <f ca="1">IFERROR(XIRR($C68:BC68,$C$58:BC$58),"NaN")</f>
        <v>-8.1396690011024495E-2</v>
      </c>
      <c r="BD80" s="423">
        <f ca="1">IFERROR(XIRR($C68:BD68,$C$58:BD$58),"NaN")</f>
        <v>-7.2103765606880213E-2</v>
      </c>
      <c r="BE80" s="423">
        <f ca="1">IFERROR(XIRR($C68:BE68,$C$58:BE$58),"NaN")</f>
        <v>-6.3184055685996998E-2</v>
      </c>
      <c r="BF80" s="423">
        <f ca="1">IFERROR(XIRR($C68:BF68,$C$58:BF$58),"NaN")</f>
        <v>-5.4620519280433655E-2</v>
      </c>
      <c r="BG80" s="423">
        <f ca="1">IFERROR(XIRR($C68:BG68,$C$58:BG$58),"NaN")</f>
        <v>-4.6394094824790955E-2</v>
      </c>
      <c r="BH80" s="423">
        <f ca="1">IFERROR(XIRR($C68:BH68,$C$58:BH$58),"NaN")</f>
        <v>-3.8489392399787922E-2</v>
      </c>
      <c r="BI80" s="423">
        <f ca="1">IFERROR(XIRR($C68:BI68,$C$58:BI$58),"NaN")</f>
        <v>-3.0889865756034852E-2</v>
      </c>
      <c r="BJ80" s="423">
        <f ca="1">IFERROR(XIRR($C68:BJ68,$C$58:BJ$58),"NaN")</f>
        <v>-2.3581108450889586E-2</v>
      </c>
      <c r="BK80" s="423">
        <f ca="1">IFERROR(XIRR($C68:BK68,$C$58:BK$58),"NaN")</f>
        <v>-1.6549816727638243E-2</v>
      </c>
      <c r="BL80" s="423">
        <f ca="1">IFERROR(XIRR($C68:BL68,$C$58:BL$58),"NaN")</f>
        <v>-9.5520943403244012E-3</v>
      </c>
      <c r="BM80" s="423">
        <f ca="1">IFERROR(XIRR($C68:BM68,$C$58:BM$58),"NaN")</f>
        <v>-2.8235763311386108E-3</v>
      </c>
      <c r="BN80" s="423">
        <f ca="1">IFERROR(XIRR($C68:BN68,$C$58:BN$58),"NaN")</f>
        <v>3.6490529775619505E-3</v>
      </c>
      <c r="BO80" s="423">
        <f ca="1">IFERROR(XIRR($C68:BO68,$C$58:BO$58),"NaN")</f>
        <v>9.8780065774917609E-3</v>
      </c>
      <c r="BP80" s="423">
        <f ca="1">IFERROR(XIRR($C68:BP68,$C$58:BP$58),"NaN")</f>
        <v>1.587554514408112E-2</v>
      </c>
      <c r="BQ80" s="423">
        <f ca="1">IFERROR(XIRR($C68:BQ68,$C$58:BQ$58),"NaN")</f>
        <v>2.1652212738990786E-2</v>
      </c>
      <c r="BR80" s="423">
        <f ca="1">IFERROR(XIRR($C68:BR68,$C$58:BR$58),"NaN")</f>
        <v>2.721855342388153E-2</v>
      </c>
      <c r="BS80" s="423">
        <f ca="1">IFERROR(XIRR($C68:BS68,$C$58:BS$58),"NaN")</f>
        <v>3.2583847641944899E-2</v>
      </c>
      <c r="BT80" s="423">
        <f ca="1">IFERROR(XIRR($C68:BT68,$C$58:BT$58),"NaN")</f>
        <v>3.775763809680939E-2</v>
      </c>
      <c r="BU80" s="423">
        <f ca="1">IFERROR(XIRR($C68:BU68,$C$58:BU$58),"NaN")</f>
        <v>4.2748025059700018E-2</v>
      </c>
      <c r="BV80" s="423">
        <f ca="1">IFERROR(XIRR($C68:BV68,$C$58:BV$58),"NaN")</f>
        <v>4.7563078999519351E-2</v>
      </c>
      <c r="BW80" s="423">
        <f ca="1">IFERROR(XIRR($C68:BW68,$C$58:BW$58),"NaN")</f>
        <v>5.2211055159568781E-2</v>
      </c>
      <c r="BX80" s="423">
        <f ca="1">IFERROR(XIRR($C68:BX68,$C$58:BX$58),"NaN")</f>
        <v>5.6852105259895327E-2</v>
      </c>
      <c r="BY80" s="423">
        <f ca="1">IFERROR(XIRR($C68:BY68,$C$58:BY$58),"NaN")</f>
        <v>6.1330488324165336E-2</v>
      </c>
      <c r="BZ80" s="423">
        <f ca="1">IFERROR(XIRR($C68:BZ68,$C$58:BZ$58),"NaN")</f>
        <v>6.5652778744697562E-2</v>
      </c>
      <c r="CA80" s="423">
        <f ca="1">IFERROR(XIRR($C68:CA68,$C$58:CA$58),"NaN")</f>
        <v>6.9825819134712239E-2</v>
      </c>
      <c r="CB80" s="423">
        <f ca="1">IFERROR(XIRR($C68:CB68,$C$58:CB$58),"NaN")</f>
        <v>7.3857614398002633E-2</v>
      </c>
      <c r="CC80" s="423">
        <f ca="1">IFERROR(XIRR($C68:CC68,$C$58:CC$58),"NaN")</f>
        <v>7.775278985500339E-2</v>
      </c>
      <c r="CD80" s="423">
        <f ca="1">IFERROR(XIRR($C68:CD68,$C$58:CD$58),"NaN")</f>
        <v>8.1517919898033156E-2</v>
      </c>
      <c r="CE80" s="423">
        <f ca="1">IFERROR(XIRR($C68:CE68,$C$58:CE$58),"NaN")</f>
        <v>8.5157701373100261E-2</v>
      </c>
      <c r="CF80" s="423">
        <f ca="1">IFERROR(XIRR($C68:CF68,$C$58:CF$58),"NaN")</f>
        <v>8.8678136467933655E-2</v>
      </c>
      <c r="CG80" s="423">
        <f ca="1">IFERROR(XIRR($C68:CG68,$C$58:CG$58),"NaN")</f>
        <v>9.2083349823951749E-2</v>
      </c>
      <c r="CH80" s="423">
        <f ca="1">IFERROR(XIRR($C68:CH68,$C$58:CH$58),"NaN")</f>
        <v>9.5378020405769329E-2</v>
      </c>
      <c r="CI80" s="423">
        <f ca="1">IFERROR(XIRR($C68:CI68,$C$58:CI$58),"NaN")</f>
        <v>9.8567396402359009E-2</v>
      </c>
      <c r="CJ80" s="423">
        <f ca="1">IFERROR(XIRR($C68:CJ68,$C$58:CJ$58),"NaN")</f>
        <v>0.10176083445549011</v>
      </c>
      <c r="CK80" s="423">
        <f ca="1">IFERROR(XIRR($C68:CK68,$C$58:CK$58),"NaN")</f>
        <v>0.10485137104988101</v>
      </c>
      <c r="CL80" s="423">
        <f ca="1">IFERROR(XIRR($C68:CL68,$C$58:CL$58),"NaN")</f>
        <v>0.10784239172935486</v>
      </c>
      <c r="CM80" s="423">
        <f ca="1">IFERROR(XIRR($C68:CM68,$C$58:CM$58),"NaN")</f>
        <v>0.11073789000511167</v>
      </c>
      <c r="CN80" s="423">
        <f ca="1">IFERROR(XIRR($C68:CN68,$C$58:CN$58),"NaN")</f>
        <v>0.11354412436485292</v>
      </c>
      <c r="CO80" s="423">
        <f ca="1">IFERROR(XIRR($C68:CO68,$C$58:CO$58),"NaN")</f>
        <v>0.11626222729682922</v>
      </c>
      <c r="CP80" s="423">
        <f ca="1">IFERROR(XIRR($C68:CP68,$C$58:CP$58),"NaN")</f>
        <v>0.11889645457267761</v>
      </c>
      <c r="CQ80" s="423">
        <f ca="1">IFERROR(XIRR($C68:CQ68,$C$58:CQ$58),"NaN")</f>
        <v>0.12144923806190491</v>
      </c>
      <c r="CR80" s="423">
        <f ca="1">IFERROR(XIRR($C68:CR68,$C$58:CR$58),"NaN")</f>
        <v>0.12392447590827943</v>
      </c>
      <c r="CS80" s="423">
        <f ca="1">IFERROR(XIRR($C68:CS68,$C$58:CS$58),"NaN")</f>
        <v>0.12632434964179989</v>
      </c>
      <c r="CT80" s="423">
        <f ca="1">IFERROR(XIRR($C68:CT68,$C$58:CT$58),"NaN")</f>
        <v>0.12865168452262879</v>
      </c>
      <c r="CU80" s="423">
        <f ca="1">IFERROR(XIRR($C68:CU68,$C$58:CU$58),"NaN")</f>
        <v>0.13090992569923401</v>
      </c>
      <c r="CV80" s="423">
        <f ca="1">IFERROR(XIRR($C68:CV68,$C$58:CV$58),"NaN")</f>
        <v>0.13317622542381283</v>
      </c>
      <c r="CW80" s="423">
        <f ca="1">IFERROR(XIRR($C68:CW68,$C$58:CW$58),"NaN")</f>
        <v>0.13537476658821107</v>
      </c>
      <c r="CX80" s="423">
        <f ca="1">IFERROR(XIRR($C68:CX68,$C$58:CX$58),"NaN")</f>
        <v>0.13750734925270083</v>
      </c>
      <c r="CY80" s="423">
        <f ca="1">IFERROR(XIRR($C68:CY68,$C$58:CY$58),"NaN")</f>
        <v>0.13957641720771793</v>
      </c>
      <c r="CZ80" s="423">
        <f ca="1">IFERROR(XIRR($C68:CZ68,$C$58:CZ$58),"NaN")</f>
        <v>0.14158647656440737</v>
      </c>
      <c r="DA80" s="423">
        <f ca="1">IFERROR(XIRR($C68:DA68,$C$58:DA$58),"NaN")</f>
        <v>0.14353752732276917</v>
      </c>
      <c r="DB80" s="423">
        <f ca="1">IFERROR(XIRR($C68:DB68,$C$58:DB$58),"NaN")</f>
        <v>0.14543239474296568</v>
      </c>
      <c r="DC80" s="423">
        <f ca="1">IFERROR(XIRR($C68:DC68,$C$58:DC$58),"NaN")</f>
        <v>0.14727242588996889</v>
      </c>
      <c r="DD80" s="423">
        <f ca="1">IFERROR(XIRR($C68:DD68,$C$58:DD$58),"NaN")</f>
        <v>0.14906020760536201</v>
      </c>
      <c r="DE80" s="423">
        <f ca="1">IFERROR(XIRR($C68:DE68,$C$58:DE$58),"NaN")</f>
        <v>0.15000000596046451</v>
      </c>
      <c r="DF80" s="423">
        <f ca="1">IFERROR(XIRR($C68:DF68,$C$58:DF$58),"NaN")</f>
        <v>0.15000000596046451</v>
      </c>
      <c r="DG80" s="423">
        <f ca="1">IFERROR(XIRR($C68:DG68,$C$58:DG$58),"NaN")</f>
        <v>0.15000000596046451</v>
      </c>
      <c r="DH80" s="423">
        <f ca="1">IFERROR(XIRR($C68:DH68,$C$58:DH$58),"NaN")</f>
        <v>0.15000000596046451</v>
      </c>
      <c r="DI80" s="423">
        <f ca="1">IFERROR(XIRR($C68:DI68,$C$58:DI$58),"NaN")</f>
        <v>0.15000000596046451</v>
      </c>
      <c r="DJ80" s="423">
        <f ca="1">IFERROR(XIRR($C68:DJ68,$C$58:DJ$58),"NaN")</f>
        <v>0.15000000596046451</v>
      </c>
      <c r="DK80" s="423">
        <f ca="1">IFERROR(XIRR($C68:DK68,$C$58:DK$58),"NaN")</f>
        <v>0.15000000596046451</v>
      </c>
      <c r="DL80" s="423">
        <f ca="1">IFERROR(XIRR($C68:DL68,$C$58:DL$58),"NaN")</f>
        <v>0.15000000596046451</v>
      </c>
      <c r="DM80" s="423">
        <f ca="1">IFERROR(XIRR($C68:DM68,$C$58:DM$58),"NaN")</f>
        <v>0.15000000596046451</v>
      </c>
      <c r="DN80" s="423">
        <f ca="1">IFERROR(XIRR($C68:DN68,$C$58:DN$58),"NaN")</f>
        <v>0.15000000596046451</v>
      </c>
      <c r="DO80" s="423">
        <f ca="1">IFERROR(XIRR($C68:DO68,$C$58:DO$58),"NaN")</f>
        <v>0.15000000596046451</v>
      </c>
      <c r="DP80" s="423">
        <f ca="1">IFERROR(XIRR($C68:DP68,$C$58:DP$58),"NaN")</f>
        <v>0.15000000596046451</v>
      </c>
      <c r="DQ80" s="423">
        <f ca="1">IFERROR(XIRR($C68:DQ68,$C$58:DQ$58),"NaN")</f>
        <v>0.15000000596046451</v>
      </c>
      <c r="DR80" s="423">
        <f ca="1">IFERROR(XIRR($C68:DR68,$C$58:DR$58),"NaN")</f>
        <v>0.15000000596046451</v>
      </c>
      <c r="DS80" s="423">
        <f ca="1">IFERROR(XIRR($C68:DS68,$C$58:DS$58),"NaN")</f>
        <v>0.15000000596046451</v>
      </c>
      <c r="DT80" s="423">
        <f ca="1">IFERROR(XIRR($C68:DT68,$C$58:DT$58),"NaN")</f>
        <v>0.15000000596046451</v>
      </c>
      <c r="DU80" s="423">
        <f ca="1">IFERROR(XIRR($C68:DU68,$C$58:DU$58),"NaN")</f>
        <v>0.15000000596046451</v>
      </c>
      <c r="DV80" s="423">
        <f ca="1">IFERROR(XIRR($C68:DV68,$C$58:DV$58),"NaN")</f>
        <v>0.15000000596046451</v>
      </c>
      <c r="DW80" s="423">
        <f ca="1">IFERROR(XIRR($C68:DW68,$C$58:DW$58),"NaN")</f>
        <v>0.15000000596046451</v>
      </c>
      <c r="DX80" s="423">
        <f ca="1">IFERROR(XIRR($C68:DX68,$C$58:DX$58),"NaN")</f>
        <v>0.15000000596046451</v>
      </c>
      <c r="DY80" s="423">
        <f ca="1">IFERROR(XIRR($C68:DY68,$C$58:DY$58),"NaN")</f>
        <v>0.15000000596046451</v>
      </c>
      <c r="DZ80" s="423">
        <f ca="1">IFERROR(XIRR($C68:DZ68,$C$58:DZ$58),"NaN")</f>
        <v>0.15000000596046451</v>
      </c>
      <c r="EA80" s="423">
        <f ca="1">IFERROR(XIRR($C68:EA68,$C$58:EA$58),"NaN")</f>
        <v>0.15000000596046451</v>
      </c>
      <c r="EB80" s="423">
        <f ca="1">IFERROR(XIRR($C68:EB68,$C$58:EB$58),"NaN")</f>
        <v>0.15000000596046451</v>
      </c>
      <c r="EC80" s="423">
        <f ca="1">IFERROR(XIRR($C68:EC68,$C$58:EC$58),"NaN")</f>
        <v>0.15000000596046451</v>
      </c>
      <c r="ED80" s="423">
        <f ca="1">IFERROR(XIRR($C68:ED68,$C$58:ED$58),"NaN")</f>
        <v>0.15000000596046451</v>
      </c>
      <c r="EE80" s="423">
        <f ca="1">IFERROR(XIRR($C68:EE68,$C$58:EE$58),"NaN")</f>
        <v>0.15000000596046451</v>
      </c>
      <c r="EF80" s="423">
        <f ca="1">IFERROR(XIRR($C68:EF68,$C$58:EF$58),"NaN")</f>
        <v>0.15000000596046451</v>
      </c>
      <c r="EG80" s="423">
        <f ca="1">IFERROR(XIRR($C68:EG68,$C$58:EG$58),"NaN")</f>
        <v>0.15000000596046451</v>
      </c>
      <c r="EH80" s="423">
        <f ca="1">IFERROR(XIRR($C68:EH68,$C$58:EH$58),"NaN")</f>
        <v>0.15000000596046451</v>
      </c>
      <c r="EI80" s="423">
        <f ca="1">IFERROR(XIRR($C68:EI68,$C$58:EI$58),"NaN")</f>
        <v>0.15000000596046451</v>
      </c>
      <c r="EJ80" s="423">
        <f ca="1">IFERROR(XIRR($C68:EJ68,$C$58:EJ$58),"NaN")</f>
        <v>0.15000000596046451</v>
      </c>
      <c r="EK80" s="423">
        <f ca="1">IFERROR(XIRR($C68:EK68,$C$58:EK$58),"NaN")</f>
        <v>0.15000000596046451</v>
      </c>
      <c r="EL80" s="423">
        <f ca="1">IFERROR(XIRR($C68:EL68,$C$58:EL$58),"NaN")</f>
        <v>0.15000000596046451</v>
      </c>
      <c r="EM80" s="423">
        <f ca="1">IFERROR(XIRR($C68:EM68,$C$58:EM$58),"NaN")</f>
        <v>0.15000000596046451</v>
      </c>
      <c r="EN80" s="423">
        <f ca="1">IFERROR(XIRR($C68:EN68,$C$58:EN$58),"NaN")</f>
        <v>0.15000000596046451</v>
      </c>
      <c r="EO80" s="423">
        <f ca="1">IFERROR(XIRR($C68:EO68,$C$58:EO$58),"NaN")</f>
        <v>0.15000000596046451</v>
      </c>
      <c r="EP80" s="423">
        <f ca="1">IFERROR(XIRR($C68:EP68,$C$58:EP$58),"NaN")</f>
        <v>0.15000000596046451</v>
      </c>
      <c r="EQ80" s="423">
        <f ca="1">IFERROR(XIRR($C68:EQ68,$C$58:EQ$58),"NaN")</f>
        <v>0.15000000596046451</v>
      </c>
      <c r="ER80" s="423">
        <f ca="1">IFERROR(XIRR($C68:ER68,$C$58:ER$58),"NaN")</f>
        <v>0.15000000596046451</v>
      </c>
      <c r="ES80" s="423">
        <f ca="1">IFERROR(XIRR($C68:ES68,$C$58:ES$58),"NaN")</f>
        <v>0.15000000596046451</v>
      </c>
      <c r="ET80" s="423">
        <f ca="1">IFERROR(XIRR($C68:ET68,$C$58:ET$58),"NaN")</f>
        <v>0.15000000596046451</v>
      </c>
      <c r="EU80" s="423">
        <f ca="1">IFERROR(XIRR($C68:EU68,$C$58:EU$58),"NaN")</f>
        <v>0.15000000596046451</v>
      </c>
      <c r="EV80" s="423">
        <f ca="1">IFERROR(XIRR($C68:EV68,$C$58:EV$58),"NaN")</f>
        <v>0.15000000596046451</v>
      </c>
      <c r="EW80" s="423">
        <f ca="1">IFERROR(XIRR($C68:EW68,$C$58:EW$58),"NaN")</f>
        <v>0.15000000596046451</v>
      </c>
      <c r="EX80" s="423">
        <f ca="1">IFERROR(XIRR($C68:EX68,$C$58:EX$58),"NaN")</f>
        <v>0.15000000596046451</v>
      </c>
      <c r="EY80" s="423">
        <f ca="1">IFERROR(XIRR($C68:EY68,$C$58:EY$58),"NaN")</f>
        <v>0.15000000596046451</v>
      </c>
      <c r="EZ80" s="423">
        <f ca="1">IFERROR(XIRR($C68:EZ68,$C$58:EZ$58),"NaN")</f>
        <v>0.15000000596046451</v>
      </c>
      <c r="FA80" s="423">
        <f ca="1">IFERROR(XIRR($C68:FA68,$C$58:FA$58),"NaN")</f>
        <v>0.15000000596046451</v>
      </c>
      <c r="FB80" s="423">
        <f ca="1">IFERROR(XIRR($C68:FB68,$C$58:FB$58),"NaN")</f>
        <v>0.15000000596046451</v>
      </c>
      <c r="FC80" s="423">
        <f ca="1">IFERROR(XIRR($C68:FC68,$C$58:FC$58),"NaN")</f>
        <v>0.15000000596046451</v>
      </c>
      <c r="FD80" s="423">
        <f ca="1">IFERROR(XIRR($C68:FD68,$C$58:FD$58),"NaN")</f>
        <v>0.15000000596046451</v>
      </c>
      <c r="FE80" s="423">
        <f ca="1">IFERROR(XIRR($C68:FE68,$C$58:FE$58),"NaN")</f>
        <v>0.15000000596046451</v>
      </c>
      <c r="FF80" s="423">
        <f ca="1">IFERROR(XIRR($C68:FF68,$C$58:FF$58),"NaN")</f>
        <v>0.15000000596046451</v>
      </c>
      <c r="FG80" s="423">
        <f ca="1">IFERROR(XIRR($C68:FG68,$C$58:FG$58),"NaN")</f>
        <v>0.15000000596046451</v>
      </c>
      <c r="FH80" s="423">
        <f ca="1">IFERROR(XIRR($C68:FH68,$C$58:FH$58),"NaN")</f>
        <v>0.15000000596046451</v>
      </c>
      <c r="FI80" s="423">
        <f ca="1">IFERROR(XIRR($C68:FI68,$C$58:FI$58),"NaN")</f>
        <v>0.15000000596046451</v>
      </c>
      <c r="FJ80" s="423">
        <f ca="1">IFERROR(XIRR($C68:FJ68,$C$58:FJ$58),"NaN")</f>
        <v>0.15000000596046451</v>
      </c>
      <c r="FK80" s="423">
        <f ca="1">IFERROR(XIRR($C68:FK68,$C$58:FK$58),"NaN")</f>
        <v>0.15000000596046451</v>
      </c>
      <c r="FL80" s="423">
        <f ca="1">IFERROR(XIRR($C68:FL68,$C$58:FL$58),"NaN")</f>
        <v>0.15000000596046451</v>
      </c>
      <c r="FM80" s="423">
        <f ca="1">IFERROR(XIRR($C68:FM68,$C$58:FM$58),"NaN")</f>
        <v>0.15000000596046451</v>
      </c>
      <c r="FN80" s="423">
        <f ca="1">IFERROR(XIRR($C68:FN68,$C$58:FN$58),"NaN")</f>
        <v>0.15000000596046451</v>
      </c>
      <c r="FO80" s="423">
        <f ca="1">IFERROR(XIRR($C68:FO68,$C$58:FO$58),"NaN")</f>
        <v>0.15000000596046451</v>
      </c>
      <c r="FP80" s="423">
        <f ca="1">IFERROR(XIRR($C68:FP68,$C$58:FP$58),"NaN")</f>
        <v>0.15000000596046451</v>
      </c>
      <c r="FQ80" s="423">
        <f ca="1">IFERROR(XIRR($C68:FQ68,$C$58:FQ$58),"NaN")</f>
        <v>0.15000000596046451</v>
      </c>
      <c r="FR80" s="423">
        <f ca="1">IFERROR(XIRR($C68:FR68,$C$58:FR$58),"NaN")</f>
        <v>0.15000000596046451</v>
      </c>
      <c r="FS80" s="423">
        <f ca="1">IFERROR(XIRR($C68:FS68,$C$58:FS$58),"NaN")</f>
        <v>0.15000000596046451</v>
      </c>
      <c r="FT80" s="423">
        <f ca="1">IFERROR(XIRR($C68:FT68,$C$58:FT$58),"NaN")</f>
        <v>0.15000000596046451</v>
      </c>
      <c r="FU80" s="423">
        <f ca="1">IFERROR(XIRR($C68:FU68,$C$58:FU$58),"NaN")</f>
        <v>0.15000000596046451</v>
      </c>
      <c r="FV80" s="423">
        <f ca="1">IFERROR(XIRR($C68:FV68,$C$58:FV$58),"NaN")</f>
        <v>0.15000000596046451</v>
      </c>
      <c r="FW80" s="423">
        <f ca="1">IFERROR(XIRR($C68:FW68,$C$58:FW$58),"NaN")</f>
        <v>0.15000000596046451</v>
      </c>
      <c r="FX80" s="423">
        <f ca="1">IFERROR(XIRR($C68:FX68,$C$58:FX$58),"NaN")</f>
        <v>0.15000000596046451</v>
      </c>
      <c r="FY80" s="423">
        <f ca="1">IFERROR(XIRR($C68:FY68,$C$58:FY$58),"NaN")</f>
        <v>0.15000000596046451</v>
      </c>
      <c r="FZ80" s="423">
        <f ca="1">IFERROR(XIRR($C68:FZ68,$C$58:FZ$58),"NaN")</f>
        <v>0.15000000596046451</v>
      </c>
      <c r="GA80" s="424">
        <f ca="1">IFERROR(XIRR($C68:GA68,$C$58:GA$58),"NaN")</f>
        <v>0.15000000596046451</v>
      </c>
    </row>
    <row r="81" spans="1:183" x14ac:dyDescent="0.15">
      <c r="A81" s="279" t="s">
        <v>828</v>
      </c>
      <c r="C81" s="447" t="str">
        <f ca="1">INDEX($D81:$GA81,1,MATCH(Cust_LeaseTermYears*12,$D$56:$GA$56,0))</f>
        <v>NaN</v>
      </c>
      <c r="D81" s="423" t="str">
        <f ca="1">IFERROR(XIRR($C72:D72,$C$58:D$58),"NaN")</f>
        <v>NaN</v>
      </c>
      <c r="E81" s="423" t="str">
        <f ca="1">IFERROR(XIRR($C72:E72,$C$58:E$58),"NaN")</f>
        <v>NaN</v>
      </c>
      <c r="F81" s="423" t="str">
        <f ca="1">IFERROR(XIRR($C72:F72,$C$58:F$58),"NaN")</f>
        <v>NaN</v>
      </c>
      <c r="G81" s="423" t="str">
        <f ca="1">IFERROR(XIRR($C72:G72,$C$58:G$58),"NaN")</f>
        <v>NaN</v>
      </c>
      <c r="H81" s="423" t="str">
        <f ca="1">IFERROR(XIRR($C72:H72,$C$58:H$58),"NaN")</f>
        <v>NaN</v>
      </c>
      <c r="I81" s="423" t="str">
        <f ca="1">IFERROR(XIRR($C72:I72,$C$58:I$58),"NaN")</f>
        <v>NaN</v>
      </c>
      <c r="J81" s="423" t="str">
        <f ca="1">IFERROR(XIRR($C72:J72,$C$58:J$58),"NaN")</f>
        <v>NaN</v>
      </c>
      <c r="K81" s="423" t="str">
        <f ca="1">IFERROR(XIRR($C72:K72,$C$58:K$58),"NaN")</f>
        <v>NaN</v>
      </c>
      <c r="L81" s="423" t="str">
        <f ca="1">IFERROR(XIRR($C72:L72,$C$58:L$58),"NaN")</f>
        <v>NaN</v>
      </c>
      <c r="M81" s="423" t="str">
        <f ca="1">IFERROR(XIRR($C72:M72,$C$58:M$58),"NaN")</f>
        <v>NaN</v>
      </c>
      <c r="N81" s="423" t="str">
        <f ca="1">IFERROR(XIRR($C72:N72,$C$58:N$58),"NaN")</f>
        <v>NaN</v>
      </c>
      <c r="O81" s="423" t="str">
        <f ca="1">IFERROR(XIRR($C72:O72,$C$58:O$58),"NaN")</f>
        <v>NaN</v>
      </c>
      <c r="P81" s="423" t="str">
        <f ca="1">IFERROR(XIRR($C72:P72,$C$58:P$58),"NaN")</f>
        <v>NaN</v>
      </c>
      <c r="Q81" s="423" t="str">
        <f ca="1">IFERROR(XIRR($C72:Q72,$C$58:Q$58),"NaN")</f>
        <v>NaN</v>
      </c>
      <c r="R81" s="423" t="str">
        <f ca="1">IFERROR(XIRR($C72:R72,$C$58:R$58),"NaN")</f>
        <v>NaN</v>
      </c>
      <c r="S81" s="423" t="str">
        <f ca="1">IFERROR(XIRR($C72:S72,$C$58:S$58),"NaN")</f>
        <v>NaN</v>
      </c>
      <c r="T81" s="423" t="str">
        <f ca="1">IFERROR(XIRR($C72:T72,$C$58:T$58),"NaN")</f>
        <v>NaN</v>
      </c>
      <c r="U81" s="423" t="str">
        <f ca="1">IFERROR(XIRR($C72:U72,$C$58:U$58),"NaN")</f>
        <v>NaN</v>
      </c>
      <c r="V81" s="423" t="str">
        <f ca="1">IFERROR(XIRR($C72:V72,$C$58:V$58),"NaN")</f>
        <v>NaN</v>
      </c>
      <c r="W81" s="423" t="str">
        <f ca="1">IFERROR(XIRR($C72:W72,$C$58:W$58),"NaN")</f>
        <v>NaN</v>
      </c>
      <c r="X81" s="423" t="str">
        <f ca="1">IFERROR(XIRR($C72:X72,$C$58:X$58),"NaN")</f>
        <v>NaN</v>
      </c>
      <c r="Y81" s="423" t="str">
        <f ca="1">IFERROR(XIRR($C72:Y72,$C$58:Y$58),"NaN")</f>
        <v>NaN</v>
      </c>
      <c r="Z81" s="423" t="str">
        <f ca="1">IFERROR(XIRR($C72:Z72,$C$58:Z$58),"NaN")</f>
        <v>NaN</v>
      </c>
      <c r="AA81" s="423" t="str">
        <f ca="1">IFERROR(XIRR($C72:AA72,$C$58:AA$58),"NaN")</f>
        <v>NaN</v>
      </c>
      <c r="AB81" s="423" t="str">
        <f ca="1">IFERROR(XIRR($C72:AB72,$C$58:AB$58),"NaN")</f>
        <v>NaN</v>
      </c>
      <c r="AC81" s="423" t="str">
        <f ca="1">IFERROR(XIRR($C72:AC72,$C$58:AC$58),"NaN")</f>
        <v>NaN</v>
      </c>
      <c r="AD81" s="423" t="str">
        <f ca="1">IFERROR(XIRR($C72:AD72,$C$58:AD$58),"NaN")</f>
        <v>NaN</v>
      </c>
      <c r="AE81" s="423" t="str">
        <f ca="1">IFERROR(XIRR($C72:AE72,$C$58:AE$58),"NaN")</f>
        <v>NaN</v>
      </c>
      <c r="AF81" s="423" t="str">
        <f ca="1">IFERROR(XIRR($C72:AF72,$C$58:AF$58),"NaN")</f>
        <v>NaN</v>
      </c>
      <c r="AG81" s="423" t="str">
        <f ca="1">IFERROR(XIRR($C72:AG72,$C$58:AG$58),"NaN")</f>
        <v>NaN</v>
      </c>
      <c r="AH81" s="423" t="str">
        <f ca="1">IFERROR(XIRR($C72:AH72,$C$58:AH$58),"NaN")</f>
        <v>NaN</v>
      </c>
      <c r="AI81" s="423" t="str">
        <f ca="1">IFERROR(XIRR($C72:AI72,$C$58:AI$58),"NaN")</f>
        <v>NaN</v>
      </c>
      <c r="AJ81" s="423" t="str">
        <f ca="1">IFERROR(XIRR($C72:AJ72,$C$58:AJ$58),"NaN")</f>
        <v>NaN</v>
      </c>
      <c r="AK81" s="423" t="str">
        <f ca="1">IFERROR(XIRR($C72:AK72,$C$58:AK$58),"NaN")</f>
        <v>NaN</v>
      </c>
      <c r="AL81" s="423" t="str">
        <f ca="1">IFERROR(XIRR($C72:AL72,$C$58:AL$58),"NaN")</f>
        <v>NaN</v>
      </c>
      <c r="AM81" s="423" t="str">
        <f ca="1">IFERROR(XIRR($C72:AM72,$C$58:AM$58),"NaN")</f>
        <v>NaN</v>
      </c>
      <c r="AN81" s="423" t="str">
        <f ca="1">IFERROR(XIRR($C72:AN72,$C$58:AN$58),"NaN")</f>
        <v>NaN</v>
      </c>
      <c r="AO81" s="423" t="str">
        <f ca="1">IFERROR(XIRR($C72:AO72,$C$58:AO$58),"NaN")</f>
        <v>NaN</v>
      </c>
      <c r="AP81" s="423" t="str">
        <f ca="1">IFERROR(XIRR($C72:AP72,$C$58:AP$58),"NaN")</f>
        <v>NaN</v>
      </c>
      <c r="AQ81" s="423" t="str">
        <f ca="1">IFERROR(XIRR($C72:AQ72,$C$58:AQ$58),"NaN")</f>
        <v>NaN</v>
      </c>
      <c r="AR81" s="423" t="str">
        <f ca="1">IFERROR(XIRR($C72:AR72,$C$58:AR$58),"NaN")</f>
        <v>NaN</v>
      </c>
      <c r="AS81" s="423" t="str">
        <f ca="1">IFERROR(XIRR($C72:AS72,$C$58:AS$58),"NaN")</f>
        <v>NaN</v>
      </c>
      <c r="AT81" s="423" t="str">
        <f ca="1">IFERROR(XIRR($C72:AT72,$C$58:AT$58),"NaN")</f>
        <v>NaN</v>
      </c>
      <c r="AU81" s="423" t="str">
        <f ca="1">IFERROR(XIRR($C72:AU72,$C$58:AU$58),"NaN")</f>
        <v>NaN</v>
      </c>
      <c r="AV81" s="423" t="str">
        <f ca="1">IFERROR(XIRR($C72:AV72,$C$58:AV$58),"NaN")</f>
        <v>NaN</v>
      </c>
      <c r="AW81" s="423" t="str">
        <f ca="1">IFERROR(XIRR($C72:AW72,$C$58:AW$58),"NaN")</f>
        <v>NaN</v>
      </c>
      <c r="AX81" s="423" t="str">
        <f ca="1">IFERROR(XIRR($C72:AX72,$C$58:AX$58),"NaN")</f>
        <v>NaN</v>
      </c>
      <c r="AY81" s="423" t="str">
        <f ca="1">IFERROR(XIRR($C72:AY72,$C$58:AY$58),"NaN")</f>
        <v>NaN</v>
      </c>
      <c r="AZ81" s="423" t="str">
        <f ca="1">IFERROR(XIRR($C72:AZ72,$C$58:AZ$58),"NaN")</f>
        <v>NaN</v>
      </c>
      <c r="BA81" s="423" t="str">
        <f ca="1">IFERROR(XIRR($C72:BA72,$C$58:BA$58),"NaN")</f>
        <v>NaN</v>
      </c>
      <c r="BB81" s="423" t="str">
        <f ca="1">IFERROR(XIRR($C72:BB72,$C$58:BB$58),"NaN")</f>
        <v>NaN</v>
      </c>
      <c r="BC81" s="423" t="str">
        <f ca="1">IFERROR(XIRR($C72:BC72,$C$58:BC$58),"NaN")</f>
        <v>NaN</v>
      </c>
      <c r="BD81" s="423" t="str">
        <f ca="1">IFERROR(XIRR($C72:BD72,$C$58:BD$58),"NaN")</f>
        <v>NaN</v>
      </c>
      <c r="BE81" s="423" t="str">
        <f ca="1">IFERROR(XIRR($C72:BE72,$C$58:BE$58),"NaN")</f>
        <v>NaN</v>
      </c>
      <c r="BF81" s="423" t="str">
        <f ca="1">IFERROR(XIRR($C72:BF72,$C$58:BF$58),"NaN")</f>
        <v>NaN</v>
      </c>
      <c r="BG81" s="423" t="str">
        <f ca="1">IFERROR(XIRR($C72:BG72,$C$58:BG$58),"NaN")</f>
        <v>NaN</v>
      </c>
      <c r="BH81" s="423" t="str">
        <f ca="1">IFERROR(XIRR($C72:BH72,$C$58:BH$58),"NaN")</f>
        <v>NaN</v>
      </c>
      <c r="BI81" s="423" t="str">
        <f ca="1">IFERROR(XIRR($C72:BI72,$C$58:BI$58),"NaN")</f>
        <v>NaN</v>
      </c>
      <c r="BJ81" s="423" t="str">
        <f ca="1">IFERROR(XIRR($C72:BJ72,$C$58:BJ$58),"NaN")</f>
        <v>NaN</v>
      </c>
      <c r="BK81" s="423" t="str">
        <f ca="1">IFERROR(XIRR($C72:BK72,$C$58:BK$58),"NaN")</f>
        <v>NaN</v>
      </c>
      <c r="BL81" s="423" t="str">
        <f ca="1">IFERROR(XIRR($C72:BL72,$C$58:BL$58),"NaN")</f>
        <v>NaN</v>
      </c>
      <c r="BM81" s="423" t="str">
        <f ca="1">IFERROR(XIRR($C72:BM72,$C$58:BM$58),"NaN")</f>
        <v>NaN</v>
      </c>
      <c r="BN81" s="423" t="str">
        <f ca="1">IFERROR(XIRR($C72:BN72,$C$58:BN$58),"NaN")</f>
        <v>NaN</v>
      </c>
      <c r="BO81" s="423" t="str">
        <f ca="1">IFERROR(XIRR($C72:BO72,$C$58:BO$58),"NaN")</f>
        <v>NaN</v>
      </c>
      <c r="BP81" s="423" t="str">
        <f ca="1">IFERROR(XIRR($C72:BP72,$C$58:BP$58),"NaN")</f>
        <v>NaN</v>
      </c>
      <c r="BQ81" s="423" t="str">
        <f ca="1">IFERROR(XIRR($C72:BQ72,$C$58:BQ$58),"NaN")</f>
        <v>NaN</v>
      </c>
      <c r="BR81" s="423" t="str">
        <f ca="1">IFERROR(XIRR($C72:BR72,$C$58:BR$58),"NaN")</f>
        <v>NaN</v>
      </c>
      <c r="BS81" s="423" t="str">
        <f ca="1">IFERROR(XIRR($C72:BS72,$C$58:BS$58),"NaN")</f>
        <v>NaN</v>
      </c>
      <c r="BT81" s="423" t="str">
        <f ca="1">IFERROR(XIRR($C72:BT72,$C$58:BT$58),"NaN")</f>
        <v>NaN</v>
      </c>
      <c r="BU81" s="423" t="str">
        <f ca="1">IFERROR(XIRR($C72:BU72,$C$58:BU$58),"NaN")</f>
        <v>NaN</v>
      </c>
      <c r="BV81" s="423" t="str">
        <f ca="1">IFERROR(XIRR($C72:BV72,$C$58:BV$58),"NaN")</f>
        <v>NaN</v>
      </c>
      <c r="BW81" s="423" t="str">
        <f ca="1">IFERROR(XIRR($C72:BW72,$C$58:BW$58),"NaN")</f>
        <v>NaN</v>
      </c>
      <c r="BX81" s="423" t="str">
        <f ca="1">IFERROR(XIRR($C72:BX72,$C$58:BX$58),"NaN")</f>
        <v>NaN</v>
      </c>
      <c r="BY81" s="423" t="str">
        <f ca="1">IFERROR(XIRR($C72:BY72,$C$58:BY$58),"NaN")</f>
        <v>NaN</v>
      </c>
      <c r="BZ81" s="423" t="str">
        <f ca="1">IFERROR(XIRR($C72:BZ72,$C$58:BZ$58),"NaN")</f>
        <v>NaN</v>
      </c>
      <c r="CA81" s="423" t="str">
        <f ca="1">IFERROR(XIRR($C72:CA72,$C$58:CA$58),"NaN")</f>
        <v>NaN</v>
      </c>
      <c r="CB81" s="423" t="str">
        <f ca="1">IFERROR(XIRR($C72:CB72,$C$58:CB$58),"NaN")</f>
        <v>NaN</v>
      </c>
      <c r="CC81" s="423" t="str">
        <f ca="1">IFERROR(XIRR($C72:CC72,$C$58:CC$58),"NaN")</f>
        <v>NaN</v>
      </c>
      <c r="CD81" s="423" t="str">
        <f ca="1">IFERROR(XIRR($C72:CD72,$C$58:CD$58),"NaN")</f>
        <v>NaN</v>
      </c>
      <c r="CE81" s="423" t="str">
        <f ca="1">IFERROR(XIRR($C72:CE72,$C$58:CE$58),"NaN")</f>
        <v>NaN</v>
      </c>
      <c r="CF81" s="423" t="str">
        <f ca="1">IFERROR(XIRR($C72:CF72,$C$58:CF$58),"NaN")</f>
        <v>NaN</v>
      </c>
      <c r="CG81" s="423" t="str">
        <f ca="1">IFERROR(XIRR($C72:CG72,$C$58:CG$58),"NaN")</f>
        <v>NaN</v>
      </c>
      <c r="CH81" s="423" t="str">
        <f ca="1">IFERROR(XIRR($C72:CH72,$C$58:CH$58),"NaN")</f>
        <v>NaN</v>
      </c>
      <c r="CI81" s="423" t="str">
        <f ca="1">IFERROR(XIRR($C72:CI72,$C$58:CI$58),"NaN")</f>
        <v>NaN</v>
      </c>
      <c r="CJ81" s="423" t="str">
        <f ca="1">IFERROR(XIRR($C72:CJ72,$C$58:CJ$58),"NaN")</f>
        <v>NaN</v>
      </c>
      <c r="CK81" s="423" t="str">
        <f ca="1">IFERROR(XIRR($C72:CK72,$C$58:CK$58),"NaN")</f>
        <v>NaN</v>
      </c>
      <c r="CL81" s="423" t="str">
        <f ca="1">IFERROR(XIRR($C72:CL72,$C$58:CL$58),"NaN")</f>
        <v>NaN</v>
      </c>
      <c r="CM81" s="423" t="str">
        <f ca="1">IFERROR(XIRR($C72:CM72,$C$58:CM$58),"NaN")</f>
        <v>NaN</v>
      </c>
      <c r="CN81" s="423" t="str">
        <f ca="1">IFERROR(XIRR($C72:CN72,$C$58:CN$58),"NaN")</f>
        <v>NaN</v>
      </c>
      <c r="CO81" s="423" t="str">
        <f ca="1">IFERROR(XIRR($C72:CO72,$C$58:CO$58),"NaN")</f>
        <v>NaN</v>
      </c>
      <c r="CP81" s="423" t="str">
        <f ca="1">IFERROR(XIRR($C72:CP72,$C$58:CP$58),"NaN")</f>
        <v>NaN</v>
      </c>
      <c r="CQ81" s="423" t="str">
        <f ca="1">IFERROR(XIRR($C72:CQ72,$C$58:CQ$58),"NaN")</f>
        <v>NaN</v>
      </c>
      <c r="CR81" s="423" t="str">
        <f ca="1">IFERROR(XIRR($C72:CR72,$C$58:CR$58),"NaN")</f>
        <v>NaN</v>
      </c>
      <c r="CS81" s="423" t="str">
        <f ca="1">IFERROR(XIRR($C72:CS72,$C$58:CS$58),"NaN")</f>
        <v>NaN</v>
      </c>
      <c r="CT81" s="423" t="str">
        <f ca="1">IFERROR(XIRR($C72:CT72,$C$58:CT$58),"NaN")</f>
        <v>NaN</v>
      </c>
      <c r="CU81" s="423" t="str">
        <f ca="1">IFERROR(XIRR($C72:CU72,$C$58:CU$58),"NaN")</f>
        <v>NaN</v>
      </c>
      <c r="CV81" s="423" t="str">
        <f ca="1">IFERROR(XIRR($C72:CV72,$C$58:CV$58),"NaN")</f>
        <v>NaN</v>
      </c>
      <c r="CW81" s="423" t="str">
        <f ca="1">IFERROR(XIRR($C72:CW72,$C$58:CW$58),"NaN")</f>
        <v>NaN</v>
      </c>
      <c r="CX81" s="423" t="str">
        <f ca="1">IFERROR(XIRR($C72:CX72,$C$58:CX$58),"NaN")</f>
        <v>NaN</v>
      </c>
      <c r="CY81" s="423" t="str">
        <f ca="1">IFERROR(XIRR($C72:CY72,$C$58:CY$58),"NaN")</f>
        <v>NaN</v>
      </c>
      <c r="CZ81" s="423" t="str">
        <f ca="1">IFERROR(XIRR($C72:CZ72,$C$58:CZ$58),"NaN")</f>
        <v>NaN</v>
      </c>
      <c r="DA81" s="423" t="str">
        <f ca="1">IFERROR(XIRR($C72:DA72,$C$58:DA$58),"NaN")</f>
        <v>NaN</v>
      </c>
      <c r="DB81" s="423" t="str">
        <f ca="1">IFERROR(XIRR($C72:DB72,$C$58:DB$58),"NaN")</f>
        <v>NaN</v>
      </c>
      <c r="DC81" s="423" t="str">
        <f ca="1">IFERROR(XIRR($C72:DC72,$C$58:DC$58),"NaN")</f>
        <v>NaN</v>
      </c>
      <c r="DD81" s="423" t="str">
        <f ca="1">IFERROR(XIRR($C72:DD72,$C$58:DD$58),"NaN")</f>
        <v>NaN</v>
      </c>
      <c r="DE81" s="423" t="str">
        <f ca="1">IFERROR(XIRR($C72:DE72,$C$58:DE$58),"NaN")</f>
        <v>NaN</v>
      </c>
      <c r="DF81" s="423" t="str">
        <f ca="1">IFERROR(XIRR($C72:DF72,$C$58:DF$58),"NaN")</f>
        <v>NaN</v>
      </c>
      <c r="DG81" s="423" t="str">
        <f ca="1">IFERROR(XIRR($C72:DG72,$C$58:DG$58),"NaN")</f>
        <v>NaN</v>
      </c>
      <c r="DH81" s="423" t="str">
        <f ca="1">IFERROR(XIRR($C72:DH72,$C$58:DH$58),"NaN")</f>
        <v>NaN</v>
      </c>
      <c r="DI81" s="423" t="str">
        <f ca="1">IFERROR(XIRR($C72:DI72,$C$58:DI$58),"NaN")</f>
        <v>NaN</v>
      </c>
      <c r="DJ81" s="423" t="str">
        <f ca="1">IFERROR(XIRR($C72:DJ72,$C$58:DJ$58),"NaN")</f>
        <v>NaN</v>
      </c>
      <c r="DK81" s="423" t="str">
        <f ca="1">IFERROR(XIRR($C72:DK72,$C$58:DK$58),"NaN")</f>
        <v>NaN</v>
      </c>
      <c r="DL81" s="423" t="str">
        <f ca="1">IFERROR(XIRR($C72:DL72,$C$58:DL$58),"NaN")</f>
        <v>NaN</v>
      </c>
      <c r="DM81" s="423" t="str">
        <f ca="1">IFERROR(XIRR($C72:DM72,$C$58:DM$58),"NaN")</f>
        <v>NaN</v>
      </c>
      <c r="DN81" s="423" t="str">
        <f ca="1">IFERROR(XIRR($C72:DN72,$C$58:DN$58),"NaN")</f>
        <v>NaN</v>
      </c>
      <c r="DO81" s="423" t="str">
        <f ca="1">IFERROR(XIRR($C72:DO72,$C$58:DO$58),"NaN")</f>
        <v>NaN</v>
      </c>
      <c r="DP81" s="423" t="str">
        <f ca="1">IFERROR(XIRR($C72:DP72,$C$58:DP$58),"NaN")</f>
        <v>NaN</v>
      </c>
      <c r="DQ81" s="423" t="str">
        <f ca="1">IFERROR(XIRR($C72:DQ72,$C$58:DQ$58),"NaN")</f>
        <v>NaN</v>
      </c>
      <c r="DR81" s="423" t="str">
        <f ca="1">IFERROR(XIRR($C72:DR72,$C$58:DR$58),"NaN")</f>
        <v>NaN</v>
      </c>
      <c r="DS81" s="423" t="str">
        <f ca="1">IFERROR(XIRR($C72:DS72,$C$58:DS$58),"NaN")</f>
        <v>NaN</v>
      </c>
      <c r="DT81" s="423" t="str">
        <f ca="1">IFERROR(XIRR($C72:DT72,$C$58:DT$58),"NaN")</f>
        <v>NaN</v>
      </c>
      <c r="DU81" s="423" t="str">
        <f ca="1">IFERROR(XIRR($C72:DU72,$C$58:DU$58),"NaN")</f>
        <v>NaN</v>
      </c>
      <c r="DV81" s="423" t="str">
        <f ca="1">IFERROR(XIRR($C72:DV72,$C$58:DV$58),"NaN")</f>
        <v>NaN</v>
      </c>
      <c r="DW81" s="423" t="str">
        <f ca="1">IFERROR(XIRR($C72:DW72,$C$58:DW$58),"NaN")</f>
        <v>NaN</v>
      </c>
      <c r="DX81" s="423" t="str">
        <f ca="1">IFERROR(XIRR($C72:DX72,$C$58:DX$58),"NaN")</f>
        <v>NaN</v>
      </c>
      <c r="DY81" s="423" t="str">
        <f ca="1">IFERROR(XIRR($C72:DY72,$C$58:DY$58),"NaN")</f>
        <v>NaN</v>
      </c>
      <c r="DZ81" s="423" t="str">
        <f ca="1">IFERROR(XIRR($C72:DZ72,$C$58:DZ$58),"NaN")</f>
        <v>NaN</v>
      </c>
      <c r="EA81" s="423" t="str">
        <f ca="1">IFERROR(XIRR($C72:EA72,$C$58:EA$58),"NaN")</f>
        <v>NaN</v>
      </c>
      <c r="EB81" s="423" t="str">
        <f ca="1">IFERROR(XIRR($C72:EB72,$C$58:EB$58),"NaN")</f>
        <v>NaN</v>
      </c>
      <c r="EC81" s="423" t="str">
        <f ca="1">IFERROR(XIRR($C72:EC72,$C$58:EC$58),"NaN")</f>
        <v>NaN</v>
      </c>
      <c r="ED81" s="423" t="str">
        <f ca="1">IFERROR(XIRR($C72:ED72,$C$58:ED$58),"NaN")</f>
        <v>NaN</v>
      </c>
      <c r="EE81" s="423" t="str">
        <f ca="1">IFERROR(XIRR($C72:EE72,$C$58:EE$58),"NaN")</f>
        <v>NaN</v>
      </c>
      <c r="EF81" s="423" t="str">
        <f ca="1">IFERROR(XIRR($C72:EF72,$C$58:EF$58),"NaN")</f>
        <v>NaN</v>
      </c>
      <c r="EG81" s="423" t="str">
        <f ca="1">IFERROR(XIRR($C72:EG72,$C$58:EG$58),"NaN")</f>
        <v>NaN</v>
      </c>
      <c r="EH81" s="423" t="str">
        <f ca="1">IFERROR(XIRR($C72:EH72,$C$58:EH$58),"NaN")</f>
        <v>NaN</v>
      </c>
      <c r="EI81" s="423" t="str">
        <f ca="1">IFERROR(XIRR($C72:EI72,$C$58:EI$58),"NaN")</f>
        <v>NaN</v>
      </c>
      <c r="EJ81" s="423" t="str">
        <f ca="1">IFERROR(XIRR($C72:EJ72,$C$58:EJ$58),"NaN")</f>
        <v>NaN</v>
      </c>
      <c r="EK81" s="423" t="str">
        <f ca="1">IFERROR(XIRR($C72:EK72,$C$58:EK$58),"NaN")</f>
        <v>NaN</v>
      </c>
      <c r="EL81" s="423" t="str">
        <f ca="1">IFERROR(XIRR($C72:EL72,$C$58:EL$58),"NaN")</f>
        <v>NaN</v>
      </c>
      <c r="EM81" s="423" t="str">
        <f ca="1">IFERROR(XIRR($C72:EM72,$C$58:EM$58),"NaN")</f>
        <v>NaN</v>
      </c>
      <c r="EN81" s="423" t="str">
        <f ca="1">IFERROR(XIRR($C72:EN72,$C$58:EN$58),"NaN")</f>
        <v>NaN</v>
      </c>
      <c r="EO81" s="423" t="str">
        <f ca="1">IFERROR(XIRR($C72:EO72,$C$58:EO$58),"NaN")</f>
        <v>NaN</v>
      </c>
      <c r="EP81" s="423" t="str">
        <f ca="1">IFERROR(XIRR($C72:EP72,$C$58:EP$58),"NaN")</f>
        <v>NaN</v>
      </c>
      <c r="EQ81" s="423" t="str">
        <f ca="1">IFERROR(XIRR($C72:EQ72,$C$58:EQ$58),"NaN")</f>
        <v>NaN</v>
      </c>
      <c r="ER81" s="423" t="str">
        <f ca="1">IFERROR(XIRR($C72:ER72,$C$58:ER$58),"NaN")</f>
        <v>NaN</v>
      </c>
      <c r="ES81" s="423" t="str">
        <f ca="1">IFERROR(XIRR($C72:ES72,$C$58:ES$58),"NaN")</f>
        <v>NaN</v>
      </c>
      <c r="ET81" s="423" t="str">
        <f ca="1">IFERROR(XIRR($C72:ET72,$C$58:ET$58),"NaN")</f>
        <v>NaN</v>
      </c>
      <c r="EU81" s="423" t="str">
        <f ca="1">IFERROR(XIRR($C72:EU72,$C$58:EU$58),"NaN")</f>
        <v>NaN</v>
      </c>
      <c r="EV81" s="423" t="str">
        <f ca="1">IFERROR(XIRR($C72:EV72,$C$58:EV$58),"NaN")</f>
        <v>NaN</v>
      </c>
      <c r="EW81" s="423" t="str">
        <f ca="1">IFERROR(XIRR($C72:EW72,$C$58:EW$58),"NaN")</f>
        <v>NaN</v>
      </c>
      <c r="EX81" s="423" t="str">
        <f ca="1">IFERROR(XIRR($C72:EX72,$C$58:EX$58),"NaN")</f>
        <v>NaN</v>
      </c>
      <c r="EY81" s="423" t="str">
        <f ca="1">IFERROR(XIRR($C72:EY72,$C$58:EY$58),"NaN")</f>
        <v>NaN</v>
      </c>
      <c r="EZ81" s="423" t="str">
        <f ca="1">IFERROR(XIRR($C72:EZ72,$C$58:EZ$58),"NaN")</f>
        <v>NaN</v>
      </c>
      <c r="FA81" s="423" t="str">
        <f ca="1">IFERROR(XIRR($C72:FA72,$C$58:FA$58),"NaN")</f>
        <v>NaN</v>
      </c>
      <c r="FB81" s="423" t="str">
        <f ca="1">IFERROR(XIRR($C72:FB72,$C$58:FB$58),"NaN")</f>
        <v>NaN</v>
      </c>
      <c r="FC81" s="423" t="str">
        <f ca="1">IFERROR(XIRR($C72:FC72,$C$58:FC$58),"NaN")</f>
        <v>NaN</v>
      </c>
      <c r="FD81" s="423" t="str">
        <f ca="1">IFERROR(XIRR($C72:FD72,$C$58:FD$58),"NaN")</f>
        <v>NaN</v>
      </c>
      <c r="FE81" s="423" t="str">
        <f ca="1">IFERROR(XIRR($C72:FE72,$C$58:FE$58),"NaN")</f>
        <v>NaN</v>
      </c>
      <c r="FF81" s="423" t="str">
        <f ca="1">IFERROR(XIRR($C72:FF72,$C$58:FF$58),"NaN")</f>
        <v>NaN</v>
      </c>
      <c r="FG81" s="423" t="str">
        <f ca="1">IFERROR(XIRR($C72:FG72,$C$58:FG$58),"NaN")</f>
        <v>NaN</v>
      </c>
      <c r="FH81" s="423" t="str">
        <f ca="1">IFERROR(XIRR($C72:FH72,$C$58:FH$58),"NaN")</f>
        <v>NaN</v>
      </c>
      <c r="FI81" s="423" t="str">
        <f ca="1">IFERROR(XIRR($C72:FI72,$C$58:FI$58),"NaN")</f>
        <v>NaN</v>
      </c>
      <c r="FJ81" s="423" t="str">
        <f ca="1">IFERROR(XIRR($C72:FJ72,$C$58:FJ$58),"NaN")</f>
        <v>NaN</v>
      </c>
      <c r="FK81" s="423" t="str">
        <f ca="1">IFERROR(XIRR($C72:FK72,$C$58:FK$58),"NaN")</f>
        <v>NaN</v>
      </c>
      <c r="FL81" s="423" t="str">
        <f ca="1">IFERROR(XIRR($C72:FL72,$C$58:FL$58),"NaN")</f>
        <v>NaN</v>
      </c>
      <c r="FM81" s="423" t="str">
        <f ca="1">IFERROR(XIRR($C72:FM72,$C$58:FM$58),"NaN")</f>
        <v>NaN</v>
      </c>
      <c r="FN81" s="423" t="str">
        <f ca="1">IFERROR(XIRR($C72:FN72,$C$58:FN$58),"NaN")</f>
        <v>NaN</v>
      </c>
      <c r="FO81" s="423" t="str">
        <f ca="1">IFERROR(XIRR($C72:FO72,$C$58:FO$58),"NaN")</f>
        <v>NaN</v>
      </c>
      <c r="FP81" s="423" t="str">
        <f ca="1">IFERROR(XIRR($C72:FP72,$C$58:FP$58),"NaN")</f>
        <v>NaN</v>
      </c>
      <c r="FQ81" s="423" t="str">
        <f ca="1">IFERROR(XIRR($C72:FQ72,$C$58:FQ$58),"NaN")</f>
        <v>NaN</v>
      </c>
      <c r="FR81" s="423" t="str">
        <f ca="1">IFERROR(XIRR($C72:FR72,$C$58:FR$58),"NaN")</f>
        <v>NaN</v>
      </c>
      <c r="FS81" s="423" t="str">
        <f ca="1">IFERROR(XIRR($C72:FS72,$C$58:FS$58),"NaN")</f>
        <v>NaN</v>
      </c>
      <c r="FT81" s="423" t="str">
        <f ca="1">IFERROR(XIRR($C72:FT72,$C$58:FT$58),"NaN")</f>
        <v>NaN</v>
      </c>
      <c r="FU81" s="423" t="str">
        <f ca="1">IFERROR(XIRR($C72:FU72,$C$58:FU$58),"NaN")</f>
        <v>NaN</v>
      </c>
      <c r="FV81" s="423" t="str">
        <f ca="1">IFERROR(XIRR($C72:FV72,$C$58:FV$58),"NaN")</f>
        <v>NaN</v>
      </c>
      <c r="FW81" s="423" t="str">
        <f ca="1">IFERROR(XIRR($C72:FW72,$C$58:FW$58),"NaN")</f>
        <v>NaN</v>
      </c>
      <c r="FX81" s="423" t="str">
        <f ca="1">IFERROR(XIRR($C72:FX72,$C$58:FX$58),"NaN")</f>
        <v>NaN</v>
      </c>
      <c r="FY81" s="423" t="str">
        <f ca="1">IFERROR(XIRR($C72:FY72,$C$58:FY$58),"NaN")</f>
        <v>NaN</v>
      </c>
      <c r="FZ81" s="423" t="str">
        <f ca="1">IFERROR(XIRR($C72:FZ72,$C$58:FZ$58),"NaN")</f>
        <v>NaN</v>
      </c>
      <c r="GA81" s="424" t="str">
        <f ca="1">IFERROR(XIRR($C72:GA72,$C$58:GA$58),"NaN")</f>
        <v>NaN</v>
      </c>
    </row>
    <row r="82" spans="1:183" x14ac:dyDescent="0.15">
      <c r="A82" s="279" t="s">
        <v>879</v>
      </c>
      <c r="C82" s="447" t="str">
        <f ca="1">INDEX($D82:$GA82,1,MATCH(Cust_LeaseTermYears*12,$D$56:$GA$56,0))</f>
        <v>NaN</v>
      </c>
      <c r="D82" s="423" t="str">
        <f ca="1">IFERROR(XIRR($C74:D74,$C$58:D$58),"NaN")</f>
        <v>NaN</v>
      </c>
      <c r="E82" s="423" t="str">
        <f ca="1">IFERROR(XIRR($C74:E74,$C$58:E$58),"NaN")</f>
        <v>NaN</v>
      </c>
      <c r="F82" s="423" t="str">
        <f ca="1">IFERROR(XIRR($C74:F74,$C$58:F$58),"NaN")</f>
        <v>NaN</v>
      </c>
      <c r="G82" s="423" t="str">
        <f ca="1">IFERROR(XIRR($C74:G74,$C$58:G$58),"NaN")</f>
        <v>NaN</v>
      </c>
      <c r="H82" s="423" t="str">
        <f ca="1">IFERROR(XIRR($C74:H74,$C$58:H$58),"NaN")</f>
        <v>NaN</v>
      </c>
      <c r="I82" s="423" t="str">
        <f ca="1">IFERROR(XIRR($C74:I74,$C$58:I$58),"NaN")</f>
        <v>NaN</v>
      </c>
      <c r="J82" s="423" t="str">
        <f ca="1">IFERROR(XIRR($C74:J74,$C$58:J$58),"NaN")</f>
        <v>NaN</v>
      </c>
      <c r="K82" s="423" t="str">
        <f ca="1">IFERROR(XIRR($C74:K74,$C$58:K$58),"NaN")</f>
        <v>NaN</v>
      </c>
      <c r="L82" s="423" t="str">
        <f ca="1">IFERROR(XIRR($C74:L74,$C$58:L$58),"NaN")</f>
        <v>NaN</v>
      </c>
      <c r="M82" s="423" t="str">
        <f ca="1">IFERROR(XIRR($C74:M74,$C$58:M$58),"NaN")</f>
        <v>NaN</v>
      </c>
      <c r="N82" s="423" t="str">
        <f ca="1">IFERROR(XIRR($C74:N74,$C$58:N$58),"NaN")</f>
        <v>NaN</v>
      </c>
      <c r="O82" s="423" t="str">
        <f ca="1">IFERROR(XIRR($C74:O74,$C$58:O$58),"NaN")</f>
        <v>NaN</v>
      </c>
      <c r="P82" s="423" t="str">
        <f ca="1">IFERROR(XIRR($C74:P74,$C$58:P$58),"NaN")</f>
        <v>NaN</v>
      </c>
      <c r="Q82" s="423" t="str">
        <f ca="1">IFERROR(XIRR($C74:Q74,$C$58:Q$58),"NaN")</f>
        <v>NaN</v>
      </c>
      <c r="R82" s="423" t="str">
        <f ca="1">IFERROR(XIRR($C74:R74,$C$58:R$58),"NaN")</f>
        <v>NaN</v>
      </c>
      <c r="S82" s="423" t="str">
        <f ca="1">IFERROR(XIRR($C74:S74,$C$58:S$58),"NaN")</f>
        <v>NaN</v>
      </c>
      <c r="T82" s="423" t="str">
        <f ca="1">IFERROR(XIRR($C74:T74,$C$58:T$58),"NaN")</f>
        <v>NaN</v>
      </c>
      <c r="U82" s="423" t="str">
        <f ca="1">IFERROR(XIRR($C74:U74,$C$58:U$58),"NaN")</f>
        <v>NaN</v>
      </c>
      <c r="V82" s="423" t="str">
        <f ca="1">IFERROR(XIRR($C74:V74,$C$58:V$58),"NaN")</f>
        <v>NaN</v>
      </c>
      <c r="W82" s="423" t="str">
        <f ca="1">IFERROR(XIRR($C74:W74,$C$58:W$58),"NaN")</f>
        <v>NaN</v>
      </c>
      <c r="X82" s="423" t="str">
        <f ca="1">IFERROR(XIRR($C74:X74,$C$58:X$58),"NaN")</f>
        <v>NaN</v>
      </c>
      <c r="Y82" s="423" t="str">
        <f ca="1">IFERROR(XIRR($C74:Y74,$C$58:Y$58),"NaN")</f>
        <v>NaN</v>
      </c>
      <c r="Z82" s="423" t="str">
        <f ca="1">IFERROR(XIRR($C74:Z74,$C$58:Z$58),"NaN")</f>
        <v>NaN</v>
      </c>
      <c r="AA82" s="423" t="str">
        <f ca="1">IFERROR(XIRR($C74:AA74,$C$58:AA$58),"NaN")</f>
        <v>NaN</v>
      </c>
      <c r="AB82" s="423" t="str">
        <f ca="1">IFERROR(XIRR($C74:AB74,$C$58:AB$58),"NaN")</f>
        <v>NaN</v>
      </c>
      <c r="AC82" s="423" t="str">
        <f ca="1">IFERROR(XIRR($C74:AC74,$C$58:AC$58),"NaN")</f>
        <v>NaN</v>
      </c>
      <c r="AD82" s="423" t="str">
        <f ca="1">IFERROR(XIRR($C74:AD74,$C$58:AD$58),"NaN")</f>
        <v>NaN</v>
      </c>
      <c r="AE82" s="423" t="str">
        <f ca="1">IFERROR(XIRR($C74:AE74,$C$58:AE$58),"NaN")</f>
        <v>NaN</v>
      </c>
      <c r="AF82" s="423" t="str">
        <f ca="1">IFERROR(XIRR($C74:AF74,$C$58:AF$58),"NaN")</f>
        <v>NaN</v>
      </c>
      <c r="AG82" s="423" t="str">
        <f ca="1">IFERROR(XIRR($C74:AG74,$C$58:AG$58),"NaN")</f>
        <v>NaN</v>
      </c>
      <c r="AH82" s="423" t="str">
        <f ca="1">IFERROR(XIRR($C74:AH74,$C$58:AH$58),"NaN")</f>
        <v>NaN</v>
      </c>
      <c r="AI82" s="423" t="str">
        <f ca="1">IFERROR(XIRR($C74:AI74,$C$58:AI$58),"NaN")</f>
        <v>NaN</v>
      </c>
      <c r="AJ82" s="423" t="str">
        <f ca="1">IFERROR(XIRR($C74:AJ74,$C$58:AJ$58),"NaN")</f>
        <v>NaN</v>
      </c>
      <c r="AK82" s="423" t="str">
        <f ca="1">IFERROR(XIRR($C74:AK74,$C$58:AK$58),"NaN")</f>
        <v>NaN</v>
      </c>
      <c r="AL82" s="423" t="str">
        <f ca="1">IFERROR(XIRR($C74:AL74,$C$58:AL$58),"NaN")</f>
        <v>NaN</v>
      </c>
      <c r="AM82" s="423" t="str">
        <f ca="1">IFERROR(XIRR($C74:AM74,$C$58:AM$58),"NaN")</f>
        <v>NaN</v>
      </c>
      <c r="AN82" s="423" t="str">
        <f ca="1">IFERROR(XIRR($C74:AN74,$C$58:AN$58),"NaN")</f>
        <v>NaN</v>
      </c>
      <c r="AO82" s="423" t="str">
        <f ca="1">IFERROR(XIRR($C74:AO74,$C$58:AO$58),"NaN")</f>
        <v>NaN</v>
      </c>
      <c r="AP82" s="423" t="str">
        <f ca="1">IFERROR(XIRR($C74:AP74,$C$58:AP$58),"NaN")</f>
        <v>NaN</v>
      </c>
      <c r="AQ82" s="423" t="str">
        <f ca="1">IFERROR(XIRR($C74:AQ74,$C$58:AQ$58),"NaN")</f>
        <v>NaN</v>
      </c>
      <c r="AR82" s="423" t="str">
        <f ca="1">IFERROR(XIRR($C74:AR74,$C$58:AR$58),"NaN")</f>
        <v>NaN</v>
      </c>
      <c r="AS82" s="423" t="str">
        <f ca="1">IFERROR(XIRR($C74:AS74,$C$58:AS$58),"NaN")</f>
        <v>NaN</v>
      </c>
      <c r="AT82" s="423" t="str">
        <f ca="1">IFERROR(XIRR($C74:AT74,$C$58:AT$58),"NaN")</f>
        <v>NaN</v>
      </c>
      <c r="AU82" s="423" t="str">
        <f ca="1">IFERROR(XIRR($C74:AU74,$C$58:AU$58),"NaN")</f>
        <v>NaN</v>
      </c>
      <c r="AV82" s="423" t="str">
        <f ca="1">IFERROR(XIRR($C74:AV74,$C$58:AV$58),"NaN")</f>
        <v>NaN</v>
      </c>
      <c r="AW82" s="423" t="str">
        <f ca="1">IFERROR(XIRR($C74:AW74,$C$58:AW$58),"NaN")</f>
        <v>NaN</v>
      </c>
      <c r="AX82" s="423" t="str">
        <f ca="1">IFERROR(XIRR($C74:AX74,$C$58:AX$58),"NaN")</f>
        <v>NaN</v>
      </c>
      <c r="AY82" s="423" t="str">
        <f ca="1">IFERROR(XIRR($C74:AY74,$C$58:AY$58),"NaN")</f>
        <v>NaN</v>
      </c>
      <c r="AZ82" s="423" t="str">
        <f ca="1">IFERROR(XIRR($C74:AZ74,$C$58:AZ$58),"NaN")</f>
        <v>NaN</v>
      </c>
      <c r="BA82" s="423" t="str">
        <f ca="1">IFERROR(XIRR($C74:BA74,$C$58:BA$58),"NaN")</f>
        <v>NaN</v>
      </c>
      <c r="BB82" s="423" t="str">
        <f ca="1">IFERROR(XIRR($C74:BB74,$C$58:BB$58),"NaN")</f>
        <v>NaN</v>
      </c>
      <c r="BC82" s="423" t="str">
        <f ca="1">IFERROR(XIRR($C74:BC74,$C$58:BC$58),"NaN")</f>
        <v>NaN</v>
      </c>
      <c r="BD82" s="423" t="str">
        <f ca="1">IFERROR(XIRR($C74:BD74,$C$58:BD$58),"NaN")</f>
        <v>NaN</v>
      </c>
      <c r="BE82" s="423" t="str">
        <f ca="1">IFERROR(XIRR($C74:BE74,$C$58:BE$58),"NaN")</f>
        <v>NaN</v>
      </c>
      <c r="BF82" s="423" t="str">
        <f ca="1">IFERROR(XIRR($C74:BF74,$C$58:BF$58),"NaN")</f>
        <v>NaN</v>
      </c>
      <c r="BG82" s="423" t="str">
        <f ca="1">IFERROR(XIRR($C74:BG74,$C$58:BG$58),"NaN")</f>
        <v>NaN</v>
      </c>
      <c r="BH82" s="423" t="str">
        <f ca="1">IFERROR(XIRR($C74:BH74,$C$58:BH$58),"NaN")</f>
        <v>NaN</v>
      </c>
      <c r="BI82" s="423" t="str">
        <f ca="1">IFERROR(XIRR($C74:BI74,$C$58:BI$58),"NaN")</f>
        <v>NaN</v>
      </c>
      <c r="BJ82" s="423" t="str">
        <f ca="1">IFERROR(XIRR($C74:BJ74,$C$58:BJ$58),"NaN")</f>
        <v>NaN</v>
      </c>
      <c r="BK82" s="423" t="str">
        <f ca="1">IFERROR(XIRR($C74:BK74,$C$58:BK$58),"NaN")</f>
        <v>NaN</v>
      </c>
      <c r="BL82" s="423" t="str">
        <f ca="1">IFERROR(XIRR($C74:BL74,$C$58:BL$58),"NaN")</f>
        <v>NaN</v>
      </c>
      <c r="BM82" s="423" t="str">
        <f ca="1">IFERROR(XIRR($C74:BM74,$C$58:BM$58),"NaN")</f>
        <v>NaN</v>
      </c>
      <c r="BN82" s="423" t="str">
        <f ca="1">IFERROR(XIRR($C74:BN74,$C$58:BN$58),"NaN")</f>
        <v>NaN</v>
      </c>
      <c r="BO82" s="423" t="str">
        <f ca="1">IFERROR(XIRR($C74:BO74,$C$58:BO$58),"NaN")</f>
        <v>NaN</v>
      </c>
      <c r="BP82" s="423" t="str">
        <f ca="1">IFERROR(XIRR($C74:BP74,$C$58:BP$58),"NaN")</f>
        <v>NaN</v>
      </c>
      <c r="BQ82" s="423" t="str">
        <f ca="1">IFERROR(XIRR($C74:BQ74,$C$58:BQ$58),"NaN")</f>
        <v>NaN</v>
      </c>
      <c r="BR82" s="423" t="str">
        <f ca="1">IFERROR(XIRR($C74:BR74,$C$58:BR$58),"NaN")</f>
        <v>NaN</v>
      </c>
      <c r="BS82" s="423" t="str">
        <f ca="1">IFERROR(XIRR($C74:BS74,$C$58:BS$58),"NaN")</f>
        <v>NaN</v>
      </c>
      <c r="BT82" s="423" t="str">
        <f ca="1">IFERROR(XIRR($C74:BT74,$C$58:BT$58),"NaN")</f>
        <v>NaN</v>
      </c>
      <c r="BU82" s="423" t="str">
        <f ca="1">IFERROR(XIRR($C74:BU74,$C$58:BU$58),"NaN")</f>
        <v>NaN</v>
      </c>
      <c r="BV82" s="423" t="str">
        <f ca="1">IFERROR(XIRR($C74:BV74,$C$58:BV$58),"NaN")</f>
        <v>NaN</v>
      </c>
      <c r="BW82" s="423" t="str">
        <f ca="1">IFERROR(XIRR($C74:BW74,$C$58:BW$58),"NaN")</f>
        <v>NaN</v>
      </c>
      <c r="BX82" s="423" t="str">
        <f ca="1">IFERROR(XIRR($C74:BX74,$C$58:BX$58),"NaN")</f>
        <v>NaN</v>
      </c>
      <c r="BY82" s="423" t="str">
        <f ca="1">IFERROR(XIRR($C74:BY74,$C$58:BY$58),"NaN")</f>
        <v>NaN</v>
      </c>
      <c r="BZ82" s="423" t="str">
        <f ca="1">IFERROR(XIRR($C74:BZ74,$C$58:BZ$58),"NaN")</f>
        <v>NaN</v>
      </c>
      <c r="CA82" s="423" t="str">
        <f ca="1">IFERROR(XIRR($C74:CA74,$C$58:CA$58),"NaN")</f>
        <v>NaN</v>
      </c>
      <c r="CB82" s="423" t="str">
        <f ca="1">IFERROR(XIRR($C74:CB74,$C$58:CB$58),"NaN")</f>
        <v>NaN</v>
      </c>
      <c r="CC82" s="423" t="str">
        <f ca="1">IFERROR(XIRR($C74:CC74,$C$58:CC$58),"NaN")</f>
        <v>NaN</v>
      </c>
      <c r="CD82" s="423" t="str">
        <f ca="1">IFERROR(XIRR($C74:CD74,$C$58:CD$58),"NaN")</f>
        <v>NaN</v>
      </c>
      <c r="CE82" s="423" t="str">
        <f ca="1">IFERROR(XIRR($C74:CE74,$C$58:CE$58),"NaN")</f>
        <v>NaN</v>
      </c>
      <c r="CF82" s="423" t="str">
        <f ca="1">IFERROR(XIRR($C74:CF74,$C$58:CF$58),"NaN")</f>
        <v>NaN</v>
      </c>
      <c r="CG82" s="423" t="str">
        <f ca="1">IFERROR(XIRR($C74:CG74,$C$58:CG$58),"NaN")</f>
        <v>NaN</v>
      </c>
      <c r="CH82" s="423" t="str">
        <f ca="1">IFERROR(XIRR($C74:CH74,$C$58:CH$58),"NaN")</f>
        <v>NaN</v>
      </c>
      <c r="CI82" s="423" t="str">
        <f ca="1">IFERROR(XIRR($C74:CI74,$C$58:CI$58),"NaN")</f>
        <v>NaN</v>
      </c>
      <c r="CJ82" s="423" t="str">
        <f ca="1">IFERROR(XIRR($C74:CJ74,$C$58:CJ$58),"NaN")</f>
        <v>NaN</v>
      </c>
      <c r="CK82" s="423" t="str">
        <f ca="1">IFERROR(XIRR($C74:CK74,$C$58:CK$58),"NaN")</f>
        <v>NaN</v>
      </c>
      <c r="CL82" s="423" t="str">
        <f ca="1">IFERROR(XIRR($C74:CL74,$C$58:CL$58),"NaN")</f>
        <v>NaN</v>
      </c>
      <c r="CM82" s="423" t="str">
        <f ca="1">IFERROR(XIRR($C74:CM74,$C$58:CM$58),"NaN")</f>
        <v>NaN</v>
      </c>
      <c r="CN82" s="423" t="str">
        <f ca="1">IFERROR(XIRR($C74:CN74,$C$58:CN$58),"NaN")</f>
        <v>NaN</v>
      </c>
      <c r="CO82" s="423" t="str">
        <f ca="1">IFERROR(XIRR($C74:CO74,$C$58:CO$58),"NaN")</f>
        <v>NaN</v>
      </c>
      <c r="CP82" s="423" t="str">
        <f ca="1">IFERROR(XIRR($C74:CP74,$C$58:CP$58),"NaN")</f>
        <v>NaN</v>
      </c>
      <c r="CQ82" s="423" t="str">
        <f ca="1">IFERROR(XIRR($C74:CQ74,$C$58:CQ$58),"NaN")</f>
        <v>NaN</v>
      </c>
      <c r="CR82" s="423" t="str">
        <f ca="1">IFERROR(XIRR($C74:CR74,$C$58:CR$58),"NaN")</f>
        <v>NaN</v>
      </c>
      <c r="CS82" s="423" t="str">
        <f ca="1">IFERROR(XIRR($C74:CS74,$C$58:CS$58),"NaN")</f>
        <v>NaN</v>
      </c>
      <c r="CT82" s="423" t="str">
        <f ca="1">IFERROR(XIRR($C74:CT74,$C$58:CT$58),"NaN")</f>
        <v>NaN</v>
      </c>
      <c r="CU82" s="423" t="str">
        <f ca="1">IFERROR(XIRR($C74:CU74,$C$58:CU$58),"NaN")</f>
        <v>NaN</v>
      </c>
      <c r="CV82" s="423" t="str">
        <f ca="1">IFERROR(XIRR($C74:CV74,$C$58:CV$58),"NaN")</f>
        <v>NaN</v>
      </c>
      <c r="CW82" s="423" t="str">
        <f ca="1">IFERROR(XIRR($C74:CW74,$C$58:CW$58),"NaN")</f>
        <v>NaN</v>
      </c>
      <c r="CX82" s="423" t="str">
        <f ca="1">IFERROR(XIRR($C74:CX74,$C$58:CX$58),"NaN")</f>
        <v>NaN</v>
      </c>
      <c r="CY82" s="423" t="str">
        <f ca="1">IFERROR(XIRR($C74:CY74,$C$58:CY$58),"NaN")</f>
        <v>NaN</v>
      </c>
      <c r="CZ82" s="423" t="str">
        <f ca="1">IFERROR(XIRR($C74:CZ74,$C$58:CZ$58),"NaN")</f>
        <v>NaN</v>
      </c>
      <c r="DA82" s="423" t="str">
        <f ca="1">IFERROR(XIRR($C74:DA74,$C$58:DA$58),"NaN")</f>
        <v>NaN</v>
      </c>
      <c r="DB82" s="423" t="str">
        <f ca="1">IFERROR(XIRR($C74:DB74,$C$58:DB$58),"NaN")</f>
        <v>NaN</v>
      </c>
      <c r="DC82" s="423" t="str">
        <f ca="1">IFERROR(XIRR($C74:DC74,$C$58:DC$58),"NaN")</f>
        <v>NaN</v>
      </c>
      <c r="DD82" s="423" t="str">
        <f ca="1">IFERROR(XIRR($C74:DD74,$C$58:DD$58),"NaN")</f>
        <v>NaN</v>
      </c>
      <c r="DE82" s="423" t="str">
        <f ca="1">IFERROR(XIRR($C74:DE74,$C$58:DE$58),"NaN")</f>
        <v>NaN</v>
      </c>
      <c r="DF82" s="423" t="str">
        <f ca="1">IFERROR(XIRR($C74:DF74,$C$58:DF$58),"NaN")</f>
        <v>NaN</v>
      </c>
      <c r="DG82" s="423" t="str">
        <f ca="1">IFERROR(XIRR($C74:DG74,$C$58:DG$58),"NaN")</f>
        <v>NaN</v>
      </c>
      <c r="DH82" s="423" t="str">
        <f ca="1">IFERROR(XIRR($C74:DH74,$C$58:DH$58),"NaN")</f>
        <v>NaN</v>
      </c>
      <c r="DI82" s="423" t="str">
        <f ca="1">IFERROR(XIRR($C74:DI74,$C$58:DI$58),"NaN")</f>
        <v>NaN</v>
      </c>
      <c r="DJ82" s="423" t="str">
        <f ca="1">IFERROR(XIRR($C74:DJ74,$C$58:DJ$58),"NaN")</f>
        <v>NaN</v>
      </c>
      <c r="DK82" s="423" t="str">
        <f ca="1">IFERROR(XIRR($C74:DK74,$C$58:DK$58),"NaN")</f>
        <v>NaN</v>
      </c>
      <c r="DL82" s="423" t="str">
        <f ca="1">IFERROR(XIRR($C74:DL74,$C$58:DL$58),"NaN")</f>
        <v>NaN</v>
      </c>
      <c r="DM82" s="423" t="str">
        <f ca="1">IFERROR(XIRR($C74:DM74,$C$58:DM$58),"NaN")</f>
        <v>NaN</v>
      </c>
      <c r="DN82" s="423" t="str">
        <f ca="1">IFERROR(XIRR($C74:DN74,$C$58:DN$58),"NaN")</f>
        <v>NaN</v>
      </c>
      <c r="DO82" s="423" t="str">
        <f ca="1">IFERROR(XIRR($C74:DO74,$C$58:DO$58),"NaN")</f>
        <v>NaN</v>
      </c>
      <c r="DP82" s="423" t="str">
        <f ca="1">IFERROR(XIRR($C74:DP74,$C$58:DP$58),"NaN")</f>
        <v>NaN</v>
      </c>
      <c r="DQ82" s="423" t="str">
        <f ca="1">IFERROR(XIRR($C74:DQ74,$C$58:DQ$58),"NaN")</f>
        <v>NaN</v>
      </c>
      <c r="DR82" s="423" t="str">
        <f ca="1">IFERROR(XIRR($C74:DR74,$C$58:DR$58),"NaN")</f>
        <v>NaN</v>
      </c>
      <c r="DS82" s="423" t="str">
        <f ca="1">IFERROR(XIRR($C74:DS74,$C$58:DS$58),"NaN")</f>
        <v>NaN</v>
      </c>
      <c r="DT82" s="423" t="str">
        <f ca="1">IFERROR(XIRR($C74:DT74,$C$58:DT$58),"NaN")</f>
        <v>NaN</v>
      </c>
      <c r="DU82" s="423" t="str">
        <f ca="1">IFERROR(XIRR($C74:DU74,$C$58:DU$58),"NaN")</f>
        <v>NaN</v>
      </c>
      <c r="DV82" s="423" t="str">
        <f ca="1">IFERROR(XIRR($C74:DV74,$C$58:DV$58),"NaN")</f>
        <v>NaN</v>
      </c>
      <c r="DW82" s="423" t="str">
        <f ca="1">IFERROR(XIRR($C74:DW74,$C$58:DW$58),"NaN")</f>
        <v>NaN</v>
      </c>
      <c r="DX82" s="423" t="str">
        <f ca="1">IFERROR(XIRR($C74:DX74,$C$58:DX$58),"NaN")</f>
        <v>NaN</v>
      </c>
      <c r="DY82" s="423" t="str">
        <f ca="1">IFERROR(XIRR($C74:DY74,$C$58:DY$58),"NaN")</f>
        <v>NaN</v>
      </c>
      <c r="DZ82" s="423" t="str">
        <f ca="1">IFERROR(XIRR($C74:DZ74,$C$58:DZ$58),"NaN")</f>
        <v>NaN</v>
      </c>
      <c r="EA82" s="423" t="str">
        <f ca="1">IFERROR(XIRR($C74:EA74,$C$58:EA$58),"NaN")</f>
        <v>NaN</v>
      </c>
      <c r="EB82" s="423" t="str">
        <f ca="1">IFERROR(XIRR($C74:EB74,$C$58:EB$58),"NaN")</f>
        <v>NaN</v>
      </c>
      <c r="EC82" s="423" t="str">
        <f ca="1">IFERROR(XIRR($C74:EC74,$C$58:EC$58),"NaN")</f>
        <v>NaN</v>
      </c>
      <c r="ED82" s="423" t="str">
        <f ca="1">IFERROR(XIRR($C74:ED74,$C$58:ED$58),"NaN")</f>
        <v>NaN</v>
      </c>
      <c r="EE82" s="423" t="str">
        <f ca="1">IFERROR(XIRR($C74:EE74,$C$58:EE$58),"NaN")</f>
        <v>NaN</v>
      </c>
      <c r="EF82" s="423" t="str">
        <f ca="1">IFERROR(XIRR($C74:EF74,$C$58:EF$58),"NaN")</f>
        <v>NaN</v>
      </c>
      <c r="EG82" s="423" t="str">
        <f ca="1">IFERROR(XIRR($C74:EG74,$C$58:EG$58),"NaN")</f>
        <v>NaN</v>
      </c>
      <c r="EH82" s="423" t="str">
        <f ca="1">IFERROR(XIRR($C74:EH74,$C$58:EH$58),"NaN")</f>
        <v>NaN</v>
      </c>
      <c r="EI82" s="423" t="str">
        <f ca="1">IFERROR(XIRR($C74:EI74,$C$58:EI$58),"NaN")</f>
        <v>NaN</v>
      </c>
      <c r="EJ82" s="423" t="str">
        <f ca="1">IFERROR(XIRR($C74:EJ74,$C$58:EJ$58),"NaN")</f>
        <v>NaN</v>
      </c>
      <c r="EK82" s="423" t="str">
        <f ca="1">IFERROR(XIRR($C74:EK74,$C$58:EK$58),"NaN")</f>
        <v>NaN</v>
      </c>
      <c r="EL82" s="423" t="str">
        <f ca="1">IFERROR(XIRR($C74:EL74,$C$58:EL$58),"NaN")</f>
        <v>NaN</v>
      </c>
      <c r="EM82" s="423" t="str">
        <f ca="1">IFERROR(XIRR($C74:EM74,$C$58:EM$58),"NaN")</f>
        <v>NaN</v>
      </c>
      <c r="EN82" s="423" t="str">
        <f ca="1">IFERROR(XIRR($C74:EN74,$C$58:EN$58),"NaN")</f>
        <v>NaN</v>
      </c>
      <c r="EO82" s="423" t="str">
        <f ca="1">IFERROR(XIRR($C74:EO74,$C$58:EO$58),"NaN")</f>
        <v>NaN</v>
      </c>
      <c r="EP82" s="423" t="str">
        <f ca="1">IFERROR(XIRR($C74:EP74,$C$58:EP$58),"NaN")</f>
        <v>NaN</v>
      </c>
      <c r="EQ82" s="423" t="str">
        <f ca="1">IFERROR(XIRR($C74:EQ74,$C$58:EQ$58),"NaN")</f>
        <v>NaN</v>
      </c>
      <c r="ER82" s="423" t="str">
        <f ca="1">IFERROR(XIRR($C74:ER74,$C$58:ER$58),"NaN")</f>
        <v>NaN</v>
      </c>
      <c r="ES82" s="423" t="str">
        <f ca="1">IFERROR(XIRR($C74:ES74,$C$58:ES$58),"NaN")</f>
        <v>NaN</v>
      </c>
      <c r="ET82" s="423" t="str">
        <f ca="1">IFERROR(XIRR($C74:ET74,$C$58:ET$58),"NaN")</f>
        <v>NaN</v>
      </c>
      <c r="EU82" s="423" t="str">
        <f ca="1">IFERROR(XIRR($C74:EU74,$C$58:EU$58),"NaN")</f>
        <v>NaN</v>
      </c>
      <c r="EV82" s="423" t="str">
        <f ca="1">IFERROR(XIRR($C74:EV74,$C$58:EV$58),"NaN")</f>
        <v>NaN</v>
      </c>
      <c r="EW82" s="423" t="str">
        <f ca="1">IFERROR(XIRR($C74:EW74,$C$58:EW$58),"NaN")</f>
        <v>NaN</v>
      </c>
      <c r="EX82" s="423" t="str">
        <f ca="1">IFERROR(XIRR($C74:EX74,$C$58:EX$58),"NaN")</f>
        <v>NaN</v>
      </c>
      <c r="EY82" s="423" t="str">
        <f ca="1">IFERROR(XIRR($C74:EY74,$C$58:EY$58),"NaN")</f>
        <v>NaN</v>
      </c>
      <c r="EZ82" s="423" t="str">
        <f ca="1">IFERROR(XIRR($C74:EZ74,$C$58:EZ$58),"NaN")</f>
        <v>NaN</v>
      </c>
      <c r="FA82" s="423" t="str">
        <f ca="1">IFERROR(XIRR($C74:FA74,$C$58:FA$58),"NaN")</f>
        <v>NaN</v>
      </c>
      <c r="FB82" s="423" t="str">
        <f ca="1">IFERROR(XIRR($C74:FB74,$C$58:FB$58),"NaN")</f>
        <v>NaN</v>
      </c>
      <c r="FC82" s="423" t="str">
        <f ca="1">IFERROR(XIRR($C74:FC74,$C$58:FC$58),"NaN")</f>
        <v>NaN</v>
      </c>
      <c r="FD82" s="423" t="str">
        <f ca="1">IFERROR(XIRR($C74:FD74,$C$58:FD$58),"NaN")</f>
        <v>NaN</v>
      </c>
      <c r="FE82" s="423" t="str">
        <f ca="1">IFERROR(XIRR($C74:FE74,$C$58:FE$58),"NaN")</f>
        <v>NaN</v>
      </c>
      <c r="FF82" s="423" t="str">
        <f ca="1">IFERROR(XIRR($C74:FF74,$C$58:FF$58),"NaN")</f>
        <v>NaN</v>
      </c>
      <c r="FG82" s="423" t="str">
        <f ca="1">IFERROR(XIRR($C74:FG74,$C$58:FG$58),"NaN")</f>
        <v>NaN</v>
      </c>
      <c r="FH82" s="423" t="str">
        <f ca="1">IFERROR(XIRR($C74:FH74,$C$58:FH$58),"NaN")</f>
        <v>NaN</v>
      </c>
      <c r="FI82" s="423" t="str">
        <f ca="1">IFERROR(XIRR($C74:FI74,$C$58:FI$58),"NaN")</f>
        <v>NaN</v>
      </c>
      <c r="FJ82" s="423" t="str">
        <f ca="1">IFERROR(XIRR($C74:FJ74,$C$58:FJ$58),"NaN")</f>
        <v>NaN</v>
      </c>
      <c r="FK82" s="423" t="str">
        <f ca="1">IFERROR(XIRR($C74:FK74,$C$58:FK$58),"NaN")</f>
        <v>NaN</v>
      </c>
      <c r="FL82" s="423" t="str">
        <f ca="1">IFERROR(XIRR($C74:FL74,$C$58:FL$58),"NaN")</f>
        <v>NaN</v>
      </c>
      <c r="FM82" s="423" t="str">
        <f ca="1">IFERROR(XIRR($C74:FM74,$C$58:FM$58),"NaN")</f>
        <v>NaN</v>
      </c>
      <c r="FN82" s="423" t="str">
        <f ca="1">IFERROR(XIRR($C74:FN74,$C$58:FN$58),"NaN")</f>
        <v>NaN</v>
      </c>
      <c r="FO82" s="423" t="str">
        <f ca="1">IFERROR(XIRR($C74:FO74,$C$58:FO$58),"NaN")</f>
        <v>NaN</v>
      </c>
      <c r="FP82" s="423" t="str">
        <f ca="1">IFERROR(XIRR($C74:FP74,$C$58:FP$58),"NaN")</f>
        <v>NaN</v>
      </c>
      <c r="FQ82" s="423" t="str">
        <f ca="1">IFERROR(XIRR($C74:FQ74,$C$58:FQ$58),"NaN")</f>
        <v>NaN</v>
      </c>
      <c r="FR82" s="423" t="str">
        <f ca="1">IFERROR(XIRR($C74:FR74,$C$58:FR$58),"NaN")</f>
        <v>NaN</v>
      </c>
      <c r="FS82" s="423" t="str">
        <f ca="1">IFERROR(XIRR($C74:FS74,$C$58:FS$58),"NaN")</f>
        <v>NaN</v>
      </c>
      <c r="FT82" s="423" t="str">
        <f ca="1">IFERROR(XIRR($C74:FT74,$C$58:FT$58),"NaN")</f>
        <v>NaN</v>
      </c>
      <c r="FU82" s="423" t="str">
        <f ca="1">IFERROR(XIRR($C74:FU74,$C$58:FU$58),"NaN")</f>
        <v>NaN</v>
      </c>
      <c r="FV82" s="423" t="str">
        <f ca="1">IFERROR(XIRR($C74:FV74,$C$58:FV$58),"NaN")</f>
        <v>NaN</v>
      </c>
      <c r="FW82" s="423" t="str">
        <f ca="1">IFERROR(XIRR($C74:FW74,$C$58:FW$58),"NaN")</f>
        <v>NaN</v>
      </c>
      <c r="FX82" s="423" t="str">
        <f ca="1">IFERROR(XIRR($C74:FX74,$C$58:FX$58),"NaN")</f>
        <v>NaN</v>
      </c>
      <c r="FY82" s="423" t="str">
        <f ca="1">IFERROR(XIRR($C74:FY74,$C$58:FY$58),"NaN")</f>
        <v>NaN</v>
      </c>
      <c r="FZ82" s="423" t="str">
        <f ca="1">IFERROR(XIRR($C74:FZ74,$C$58:FZ$58),"NaN")</f>
        <v>NaN</v>
      </c>
      <c r="GA82" s="424" t="str">
        <f ca="1">IFERROR(XIRR($C74:GA74,$C$58:GA$58),"NaN")</f>
        <v>NaN</v>
      </c>
    </row>
    <row r="83" spans="1:183" x14ac:dyDescent="0.15">
      <c r="A83" s="281" t="s">
        <v>880</v>
      </c>
      <c r="C83" s="448" t="str">
        <f ca="1">INDEX($D83:$GA83,1,MATCH(Cust_LeaseTermYears*12,$D$56:$GA$56,0))</f>
        <v>NaN</v>
      </c>
      <c r="D83" s="425" t="str">
        <f ca="1">IFERROR(XIRR($C77:D77,$C$58:D$58),"NaN")</f>
        <v>NaN</v>
      </c>
      <c r="E83" s="425" t="str">
        <f ca="1">IFERROR(XIRR($C77:E77,$C$58:E$58),"NaN")</f>
        <v>NaN</v>
      </c>
      <c r="F83" s="425" t="str">
        <f ca="1">IFERROR(XIRR($C77:F77,$C$58:F$58),"NaN")</f>
        <v>NaN</v>
      </c>
      <c r="G83" s="425" t="str">
        <f ca="1">IFERROR(XIRR($C77:G77,$C$58:G$58),"NaN")</f>
        <v>NaN</v>
      </c>
      <c r="H83" s="425" t="str">
        <f ca="1">IFERROR(XIRR($C77:H77,$C$58:H$58),"NaN")</f>
        <v>NaN</v>
      </c>
      <c r="I83" s="425" t="str">
        <f ca="1">IFERROR(XIRR($C77:I77,$C$58:I$58),"NaN")</f>
        <v>NaN</v>
      </c>
      <c r="J83" s="425" t="str">
        <f ca="1">IFERROR(XIRR($C77:J77,$C$58:J$58),"NaN")</f>
        <v>NaN</v>
      </c>
      <c r="K83" s="425" t="str">
        <f ca="1">IFERROR(XIRR($C77:K77,$C$58:K$58),"NaN")</f>
        <v>NaN</v>
      </c>
      <c r="L83" s="425" t="str">
        <f ca="1">IFERROR(XIRR($C77:L77,$C$58:L$58),"NaN")</f>
        <v>NaN</v>
      </c>
      <c r="M83" s="425" t="str">
        <f ca="1">IFERROR(XIRR($C77:M77,$C$58:M$58),"NaN")</f>
        <v>NaN</v>
      </c>
      <c r="N83" s="425" t="str">
        <f ca="1">IFERROR(XIRR($C77:N77,$C$58:N$58),"NaN")</f>
        <v>NaN</v>
      </c>
      <c r="O83" s="425" t="str">
        <f ca="1">IFERROR(XIRR($C77:O77,$C$58:O$58),"NaN")</f>
        <v>NaN</v>
      </c>
      <c r="P83" s="425" t="str">
        <f ca="1">IFERROR(XIRR($C77:P77,$C$58:P$58),"NaN")</f>
        <v>NaN</v>
      </c>
      <c r="Q83" s="425" t="str">
        <f ca="1">IFERROR(XIRR($C77:Q77,$C$58:Q$58),"NaN")</f>
        <v>NaN</v>
      </c>
      <c r="R83" s="425" t="str">
        <f ca="1">IFERROR(XIRR($C77:R77,$C$58:R$58),"NaN")</f>
        <v>NaN</v>
      </c>
      <c r="S83" s="425" t="str">
        <f ca="1">IFERROR(XIRR($C77:S77,$C$58:S$58),"NaN")</f>
        <v>NaN</v>
      </c>
      <c r="T83" s="425" t="str">
        <f ca="1">IFERROR(XIRR($C77:T77,$C$58:T$58),"NaN")</f>
        <v>NaN</v>
      </c>
      <c r="U83" s="425" t="str">
        <f ca="1">IFERROR(XIRR($C77:U77,$C$58:U$58),"NaN")</f>
        <v>NaN</v>
      </c>
      <c r="V83" s="425" t="str">
        <f ca="1">IFERROR(XIRR($C77:V77,$C$58:V$58),"NaN")</f>
        <v>NaN</v>
      </c>
      <c r="W83" s="425" t="str">
        <f ca="1">IFERROR(XIRR($C77:W77,$C$58:W$58),"NaN")</f>
        <v>NaN</v>
      </c>
      <c r="X83" s="425" t="str">
        <f ca="1">IFERROR(XIRR($C77:X77,$C$58:X$58),"NaN")</f>
        <v>NaN</v>
      </c>
      <c r="Y83" s="425" t="str">
        <f ca="1">IFERROR(XIRR($C77:Y77,$C$58:Y$58),"NaN")</f>
        <v>NaN</v>
      </c>
      <c r="Z83" s="425" t="str">
        <f ca="1">IFERROR(XIRR($C77:Z77,$C$58:Z$58),"NaN")</f>
        <v>NaN</v>
      </c>
      <c r="AA83" s="425" t="str">
        <f ca="1">IFERROR(XIRR($C77:AA77,$C$58:AA$58),"NaN")</f>
        <v>NaN</v>
      </c>
      <c r="AB83" s="425" t="str">
        <f ca="1">IFERROR(XIRR($C77:AB77,$C$58:AB$58),"NaN")</f>
        <v>NaN</v>
      </c>
      <c r="AC83" s="425" t="str">
        <f ca="1">IFERROR(XIRR($C77:AC77,$C$58:AC$58),"NaN")</f>
        <v>NaN</v>
      </c>
      <c r="AD83" s="425" t="str">
        <f ca="1">IFERROR(XIRR($C77:AD77,$C$58:AD$58),"NaN")</f>
        <v>NaN</v>
      </c>
      <c r="AE83" s="425" t="str">
        <f ca="1">IFERROR(XIRR($C77:AE77,$C$58:AE$58),"NaN")</f>
        <v>NaN</v>
      </c>
      <c r="AF83" s="425" t="str">
        <f ca="1">IFERROR(XIRR($C77:AF77,$C$58:AF$58),"NaN")</f>
        <v>NaN</v>
      </c>
      <c r="AG83" s="425" t="str">
        <f ca="1">IFERROR(XIRR($C77:AG77,$C$58:AG$58),"NaN")</f>
        <v>NaN</v>
      </c>
      <c r="AH83" s="425" t="str">
        <f ca="1">IFERROR(XIRR($C77:AH77,$C$58:AH$58),"NaN")</f>
        <v>NaN</v>
      </c>
      <c r="AI83" s="425" t="str">
        <f ca="1">IFERROR(XIRR($C77:AI77,$C$58:AI$58),"NaN")</f>
        <v>NaN</v>
      </c>
      <c r="AJ83" s="425" t="str">
        <f ca="1">IFERROR(XIRR($C77:AJ77,$C$58:AJ$58),"NaN")</f>
        <v>NaN</v>
      </c>
      <c r="AK83" s="425" t="str">
        <f ca="1">IFERROR(XIRR($C77:AK77,$C$58:AK$58),"NaN")</f>
        <v>NaN</v>
      </c>
      <c r="AL83" s="425" t="str">
        <f ca="1">IFERROR(XIRR($C77:AL77,$C$58:AL$58),"NaN")</f>
        <v>NaN</v>
      </c>
      <c r="AM83" s="425" t="str">
        <f ca="1">IFERROR(XIRR($C77:AM77,$C$58:AM$58),"NaN")</f>
        <v>NaN</v>
      </c>
      <c r="AN83" s="425" t="str">
        <f ca="1">IFERROR(XIRR($C77:AN77,$C$58:AN$58),"NaN")</f>
        <v>NaN</v>
      </c>
      <c r="AO83" s="425" t="str">
        <f ca="1">IFERROR(XIRR($C77:AO77,$C$58:AO$58),"NaN")</f>
        <v>NaN</v>
      </c>
      <c r="AP83" s="425" t="str">
        <f ca="1">IFERROR(XIRR($C77:AP77,$C$58:AP$58),"NaN")</f>
        <v>NaN</v>
      </c>
      <c r="AQ83" s="425" t="str">
        <f ca="1">IFERROR(XIRR($C77:AQ77,$C$58:AQ$58),"NaN")</f>
        <v>NaN</v>
      </c>
      <c r="AR83" s="425" t="str">
        <f ca="1">IFERROR(XIRR($C77:AR77,$C$58:AR$58),"NaN")</f>
        <v>NaN</v>
      </c>
      <c r="AS83" s="425" t="str">
        <f ca="1">IFERROR(XIRR($C77:AS77,$C$58:AS$58),"NaN")</f>
        <v>NaN</v>
      </c>
      <c r="AT83" s="425" t="str">
        <f ca="1">IFERROR(XIRR($C77:AT77,$C$58:AT$58),"NaN")</f>
        <v>NaN</v>
      </c>
      <c r="AU83" s="425" t="str">
        <f ca="1">IFERROR(XIRR($C77:AU77,$C$58:AU$58),"NaN")</f>
        <v>NaN</v>
      </c>
      <c r="AV83" s="425" t="str">
        <f ca="1">IFERROR(XIRR($C77:AV77,$C$58:AV$58),"NaN")</f>
        <v>NaN</v>
      </c>
      <c r="AW83" s="425" t="str">
        <f ca="1">IFERROR(XIRR($C77:AW77,$C$58:AW$58),"NaN")</f>
        <v>NaN</v>
      </c>
      <c r="AX83" s="425" t="str">
        <f ca="1">IFERROR(XIRR($C77:AX77,$C$58:AX$58),"NaN")</f>
        <v>NaN</v>
      </c>
      <c r="AY83" s="425" t="str">
        <f ca="1">IFERROR(XIRR($C77:AY77,$C$58:AY$58),"NaN")</f>
        <v>NaN</v>
      </c>
      <c r="AZ83" s="425" t="str">
        <f ca="1">IFERROR(XIRR($C77:AZ77,$C$58:AZ$58),"NaN")</f>
        <v>NaN</v>
      </c>
      <c r="BA83" s="425" t="str">
        <f ca="1">IFERROR(XIRR($C77:BA77,$C$58:BA$58),"NaN")</f>
        <v>NaN</v>
      </c>
      <c r="BB83" s="425" t="str">
        <f ca="1">IFERROR(XIRR($C77:BB77,$C$58:BB$58),"NaN")</f>
        <v>NaN</v>
      </c>
      <c r="BC83" s="425" t="str">
        <f ca="1">IFERROR(XIRR($C77:BC77,$C$58:BC$58),"NaN")</f>
        <v>NaN</v>
      </c>
      <c r="BD83" s="425" t="str">
        <f ca="1">IFERROR(XIRR($C77:BD77,$C$58:BD$58),"NaN")</f>
        <v>NaN</v>
      </c>
      <c r="BE83" s="425" t="str">
        <f ca="1">IFERROR(XIRR($C77:BE77,$C$58:BE$58),"NaN")</f>
        <v>NaN</v>
      </c>
      <c r="BF83" s="425" t="str">
        <f ca="1">IFERROR(XIRR($C77:BF77,$C$58:BF$58),"NaN")</f>
        <v>NaN</v>
      </c>
      <c r="BG83" s="425" t="str">
        <f ca="1">IFERROR(XIRR($C77:BG77,$C$58:BG$58),"NaN")</f>
        <v>NaN</v>
      </c>
      <c r="BH83" s="425" t="str">
        <f ca="1">IFERROR(XIRR($C77:BH77,$C$58:BH$58),"NaN")</f>
        <v>NaN</v>
      </c>
      <c r="BI83" s="425" t="str">
        <f ca="1">IFERROR(XIRR($C77:BI77,$C$58:BI$58),"NaN")</f>
        <v>NaN</v>
      </c>
      <c r="BJ83" s="425" t="str">
        <f ca="1">IFERROR(XIRR($C77:BJ77,$C$58:BJ$58),"NaN")</f>
        <v>NaN</v>
      </c>
      <c r="BK83" s="425" t="str">
        <f ca="1">IFERROR(XIRR($C77:BK77,$C$58:BK$58),"NaN")</f>
        <v>NaN</v>
      </c>
      <c r="BL83" s="425" t="str">
        <f ca="1">IFERROR(XIRR($C77:BL77,$C$58:BL$58),"NaN")</f>
        <v>NaN</v>
      </c>
      <c r="BM83" s="425" t="str">
        <f ca="1">IFERROR(XIRR($C77:BM77,$C$58:BM$58),"NaN")</f>
        <v>NaN</v>
      </c>
      <c r="BN83" s="425" t="str">
        <f ca="1">IFERROR(XIRR($C77:BN77,$C$58:BN$58),"NaN")</f>
        <v>NaN</v>
      </c>
      <c r="BO83" s="425" t="str">
        <f ca="1">IFERROR(XIRR($C77:BO77,$C$58:BO$58),"NaN")</f>
        <v>NaN</v>
      </c>
      <c r="BP83" s="425" t="str">
        <f ca="1">IFERROR(XIRR($C77:BP77,$C$58:BP$58),"NaN")</f>
        <v>NaN</v>
      </c>
      <c r="BQ83" s="425" t="str">
        <f ca="1">IFERROR(XIRR($C77:BQ77,$C$58:BQ$58),"NaN")</f>
        <v>NaN</v>
      </c>
      <c r="BR83" s="425" t="str">
        <f ca="1">IFERROR(XIRR($C77:BR77,$C$58:BR$58),"NaN")</f>
        <v>NaN</v>
      </c>
      <c r="BS83" s="425" t="str">
        <f ca="1">IFERROR(XIRR($C77:BS77,$C$58:BS$58),"NaN")</f>
        <v>NaN</v>
      </c>
      <c r="BT83" s="425" t="str">
        <f ca="1">IFERROR(XIRR($C77:BT77,$C$58:BT$58),"NaN")</f>
        <v>NaN</v>
      </c>
      <c r="BU83" s="425" t="str">
        <f ca="1">IFERROR(XIRR($C77:BU77,$C$58:BU$58),"NaN")</f>
        <v>NaN</v>
      </c>
      <c r="BV83" s="425" t="str">
        <f ca="1">IFERROR(XIRR($C77:BV77,$C$58:BV$58),"NaN")</f>
        <v>NaN</v>
      </c>
      <c r="BW83" s="425" t="str">
        <f ca="1">IFERROR(XIRR($C77:BW77,$C$58:BW$58),"NaN")</f>
        <v>NaN</v>
      </c>
      <c r="BX83" s="425" t="str">
        <f ca="1">IFERROR(XIRR($C77:BX77,$C$58:BX$58),"NaN")</f>
        <v>NaN</v>
      </c>
      <c r="BY83" s="425" t="str">
        <f ca="1">IFERROR(XIRR($C77:BY77,$C$58:BY$58),"NaN")</f>
        <v>NaN</v>
      </c>
      <c r="BZ83" s="425" t="str">
        <f ca="1">IFERROR(XIRR($C77:BZ77,$C$58:BZ$58),"NaN")</f>
        <v>NaN</v>
      </c>
      <c r="CA83" s="425" t="str">
        <f ca="1">IFERROR(XIRR($C77:CA77,$C$58:CA$58),"NaN")</f>
        <v>NaN</v>
      </c>
      <c r="CB83" s="425" t="str">
        <f ca="1">IFERROR(XIRR($C77:CB77,$C$58:CB$58),"NaN")</f>
        <v>NaN</v>
      </c>
      <c r="CC83" s="425" t="str">
        <f ca="1">IFERROR(XIRR($C77:CC77,$C$58:CC$58),"NaN")</f>
        <v>NaN</v>
      </c>
      <c r="CD83" s="425" t="str">
        <f ca="1">IFERROR(XIRR($C77:CD77,$C$58:CD$58),"NaN")</f>
        <v>NaN</v>
      </c>
      <c r="CE83" s="425" t="str">
        <f ca="1">IFERROR(XIRR($C77:CE77,$C$58:CE$58),"NaN")</f>
        <v>NaN</v>
      </c>
      <c r="CF83" s="425" t="str">
        <f ca="1">IFERROR(XIRR($C77:CF77,$C$58:CF$58),"NaN")</f>
        <v>NaN</v>
      </c>
      <c r="CG83" s="425" t="str">
        <f ca="1">IFERROR(XIRR($C77:CG77,$C$58:CG$58),"NaN")</f>
        <v>NaN</v>
      </c>
      <c r="CH83" s="425" t="str">
        <f ca="1">IFERROR(XIRR($C77:CH77,$C$58:CH$58),"NaN")</f>
        <v>NaN</v>
      </c>
      <c r="CI83" s="425" t="str">
        <f ca="1">IFERROR(XIRR($C77:CI77,$C$58:CI$58),"NaN")</f>
        <v>NaN</v>
      </c>
      <c r="CJ83" s="425" t="str">
        <f ca="1">IFERROR(XIRR($C77:CJ77,$C$58:CJ$58),"NaN")</f>
        <v>NaN</v>
      </c>
      <c r="CK83" s="425" t="str">
        <f ca="1">IFERROR(XIRR($C77:CK77,$C$58:CK$58),"NaN")</f>
        <v>NaN</v>
      </c>
      <c r="CL83" s="425" t="str">
        <f ca="1">IFERROR(XIRR($C77:CL77,$C$58:CL$58),"NaN")</f>
        <v>NaN</v>
      </c>
      <c r="CM83" s="425" t="str">
        <f ca="1">IFERROR(XIRR($C77:CM77,$C$58:CM$58),"NaN")</f>
        <v>NaN</v>
      </c>
      <c r="CN83" s="425" t="str">
        <f ca="1">IFERROR(XIRR($C77:CN77,$C$58:CN$58),"NaN")</f>
        <v>NaN</v>
      </c>
      <c r="CO83" s="425" t="str">
        <f ca="1">IFERROR(XIRR($C77:CO77,$C$58:CO$58),"NaN")</f>
        <v>NaN</v>
      </c>
      <c r="CP83" s="425" t="str">
        <f ca="1">IFERROR(XIRR($C77:CP77,$C$58:CP$58),"NaN")</f>
        <v>NaN</v>
      </c>
      <c r="CQ83" s="425" t="str">
        <f ca="1">IFERROR(XIRR($C77:CQ77,$C$58:CQ$58),"NaN")</f>
        <v>NaN</v>
      </c>
      <c r="CR83" s="425" t="str">
        <f ca="1">IFERROR(XIRR($C77:CR77,$C$58:CR$58),"NaN")</f>
        <v>NaN</v>
      </c>
      <c r="CS83" s="425" t="str">
        <f ca="1">IFERROR(XIRR($C77:CS77,$C$58:CS$58),"NaN")</f>
        <v>NaN</v>
      </c>
      <c r="CT83" s="425" t="str">
        <f ca="1">IFERROR(XIRR($C77:CT77,$C$58:CT$58),"NaN")</f>
        <v>NaN</v>
      </c>
      <c r="CU83" s="425" t="str">
        <f ca="1">IFERROR(XIRR($C77:CU77,$C$58:CU$58),"NaN")</f>
        <v>NaN</v>
      </c>
      <c r="CV83" s="425" t="str">
        <f ca="1">IFERROR(XIRR($C77:CV77,$C$58:CV$58),"NaN")</f>
        <v>NaN</v>
      </c>
      <c r="CW83" s="425" t="str">
        <f ca="1">IFERROR(XIRR($C77:CW77,$C$58:CW$58),"NaN")</f>
        <v>NaN</v>
      </c>
      <c r="CX83" s="425" t="str">
        <f ca="1">IFERROR(XIRR($C77:CX77,$C$58:CX$58),"NaN")</f>
        <v>NaN</v>
      </c>
      <c r="CY83" s="425" t="str">
        <f ca="1">IFERROR(XIRR($C77:CY77,$C$58:CY$58),"NaN")</f>
        <v>NaN</v>
      </c>
      <c r="CZ83" s="425" t="str">
        <f ca="1">IFERROR(XIRR($C77:CZ77,$C$58:CZ$58),"NaN")</f>
        <v>NaN</v>
      </c>
      <c r="DA83" s="425" t="str">
        <f ca="1">IFERROR(XIRR($C77:DA77,$C$58:DA$58),"NaN")</f>
        <v>NaN</v>
      </c>
      <c r="DB83" s="425" t="str">
        <f ca="1">IFERROR(XIRR($C77:DB77,$C$58:DB$58),"NaN")</f>
        <v>NaN</v>
      </c>
      <c r="DC83" s="425" t="str">
        <f ca="1">IFERROR(XIRR($C77:DC77,$C$58:DC$58),"NaN")</f>
        <v>NaN</v>
      </c>
      <c r="DD83" s="425" t="str">
        <f ca="1">IFERROR(XIRR($C77:DD77,$C$58:DD$58),"NaN")</f>
        <v>NaN</v>
      </c>
      <c r="DE83" s="425" t="str">
        <f ca="1">IFERROR(XIRR($C77:DE77,$C$58:DE$58),"NaN")</f>
        <v>NaN</v>
      </c>
      <c r="DF83" s="425" t="str">
        <f ca="1">IFERROR(XIRR($C77:DF77,$C$58:DF$58),"NaN")</f>
        <v>NaN</v>
      </c>
      <c r="DG83" s="425" t="str">
        <f ca="1">IFERROR(XIRR($C77:DG77,$C$58:DG$58),"NaN")</f>
        <v>NaN</v>
      </c>
      <c r="DH83" s="425" t="str">
        <f ca="1">IFERROR(XIRR($C77:DH77,$C$58:DH$58),"NaN")</f>
        <v>NaN</v>
      </c>
      <c r="DI83" s="425" t="str">
        <f ca="1">IFERROR(XIRR($C77:DI77,$C$58:DI$58),"NaN")</f>
        <v>NaN</v>
      </c>
      <c r="DJ83" s="425" t="str">
        <f ca="1">IFERROR(XIRR($C77:DJ77,$C$58:DJ$58),"NaN")</f>
        <v>NaN</v>
      </c>
      <c r="DK83" s="425" t="str">
        <f ca="1">IFERROR(XIRR($C77:DK77,$C$58:DK$58),"NaN")</f>
        <v>NaN</v>
      </c>
      <c r="DL83" s="425" t="str">
        <f ca="1">IFERROR(XIRR($C77:DL77,$C$58:DL$58),"NaN")</f>
        <v>NaN</v>
      </c>
      <c r="DM83" s="425" t="str">
        <f ca="1">IFERROR(XIRR($C77:DM77,$C$58:DM$58),"NaN")</f>
        <v>NaN</v>
      </c>
      <c r="DN83" s="425" t="str">
        <f ca="1">IFERROR(XIRR($C77:DN77,$C$58:DN$58),"NaN")</f>
        <v>NaN</v>
      </c>
      <c r="DO83" s="425" t="str">
        <f ca="1">IFERROR(XIRR($C77:DO77,$C$58:DO$58),"NaN")</f>
        <v>NaN</v>
      </c>
      <c r="DP83" s="425" t="str">
        <f ca="1">IFERROR(XIRR($C77:DP77,$C$58:DP$58),"NaN")</f>
        <v>NaN</v>
      </c>
      <c r="DQ83" s="425" t="str">
        <f ca="1">IFERROR(XIRR($C77:DQ77,$C$58:DQ$58),"NaN")</f>
        <v>NaN</v>
      </c>
      <c r="DR83" s="425" t="str">
        <f ca="1">IFERROR(XIRR($C77:DR77,$C$58:DR$58),"NaN")</f>
        <v>NaN</v>
      </c>
      <c r="DS83" s="425" t="str">
        <f ca="1">IFERROR(XIRR($C77:DS77,$C$58:DS$58),"NaN")</f>
        <v>NaN</v>
      </c>
      <c r="DT83" s="425" t="str">
        <f ca="1">IFERROR(XIRR($C77:DT77,$C$58:DT$58),"NaN")</f>
        <v>NaN</v>
      </c>
      <c r="DU83" s="425" t="str">
        <f ca="1">IFERROR(XIRR($C77:DU77,$C$58:DU$58),"NaN")</f>
        <v>NaN</v>
      </c>
      <c r="DV83" s="425" t="str">
        <f ca="1">IFERROR(XIRR($C77:DV77,$C$58:DV$58),"NaN")</f>
        <v>NaN</v>
      </c>
      <c r="DW83" s="425" t="str">
        <f ca="1">IFERROR(XIRR($C77:DW77,$C$58:DW$58),"NaN")</f>
        <v>NaN</v>
      </c>
      <c r="DX83" s="425" t="str">
        <f ca="1">IFERROR(XIRR($C77:DX77,$C$58:DX$58),"NaN")</f>
        <v>NaN</v>
      </c>
      <c r="DY83" s="425" t="str">
        <f ca="1">IFERROR(XIRR($C77:DY77,$C$58:DY$58),"NaN")</f>
        <v>NaN</v>
      </c>
      <c r="DZ83" s="425" t="str">
        <f ca="1">IFERROR(XIRR($C77:DZ77,$C$58:DZ$58),"NaN")</f>
        <v>NaN</v>
      </c>
      <c r="EA83" s="425" t="str">
        <f ca="1">IFERROR(XIRR($C77:EA77,$C$58:EA$58),"NaN")</f>
        <v>NaN</v>
      </c>
      <c r="EB83" s="425" t="str">
        <f ca="1">IFERROR(XIRR($C77:EB77,$C$58:EB$58),"NaN")</f>
        <v>NaN</v>
      </c>
      <c r="EC83" s="425" t="str">
        <f ca="1">IFERROR(XIRR($C77:EC77,$C$58:EC$58),"NaN")</f>
        <v>NaN</v>
      </c>
      <c r="ED83" s="425" t="str">
        <f ca="1">IFERROR(XIRR($C77:ED77,$C$58:ED$58),"NaN")</f>
        <v>NaN</v>
      </c>
      <c r="EE83" s="425" t="str">
        <f ca="1">IFERROR(XIRR($C77:EE77,$C$58:EE$58),"NaN")</f>
        <v>NaN</v>
      </c>
      <c r="EF83" s="425" t="str">
        <f ca="1">IFERROR(XIRR($C77:EF77,$C$58:EF$58),"NaN")</f>
        <v>NaN</v>
      </c>
      <c r="EG83" s="425" t="str">
        <f ca="1">IFERROR(XIRR($C77:EG77,$C$58:EG$58),"NaN")</f>
        <v>NaN</v>
      </c>
      <c r="EH83" s="425" t="str">
        <f ca="1">IFERROR(XIRR($C77:EH77,$C$58:EH$58),"NaN")</f>
        <v>NaN</v>
      </c>
      <c r="EI83" s="425" t="str">
        <f ca="1">IFERROR(XIRR($C77:EI77,$C$58:EI$58),"NaN")</f>
        <v>NaN</v>
      </c>
      <c r="EJ83" s="425" t="str">
        <f ca="1">IFERROR(XIRR($C77:EJ77,$C$58:EJ$58),"NaN")</f>
        <v>NaN</v>
      </c>
      <c r="EK83" s="425" t="str">
        <f ca="1">IFERROR(XIRR($C77:EK77,$C$58:EK$58),"NaN")</f>
        <v>NaN</v>
      </c>
      <c r="EL83" s="425" t="str">
        <f ca="1">IFERROR(XIRR($C77:EL77,$C$58:EL$58),"NaN")</f>
        <v>NaN</v>
      </c>
      <c r="EM83" s="425" t="str">
        <f ca="1">IFERROR(XIRR($C77:EM77,$C$58:EM$58),"NaN")</f>
        <v>NaN</v>
      </c>
      <c r="EN83" s="425" t="str">
        <f ca="1">IFERROR(XIRR($C77:EN77,$C$58:EN$58),"NaN")</f>
        <v>NaN</v>
      </c>
      <c r="EO83" s="425" t="str">
        <f ca="1">IFERROR(XIRR($C77:EO77,$C$58:EO$58),"NaN")</f>
        <v>NaN</v>
      </c>
      <c r="EP83" s="425" t="str">
        <f ca="1">IFERROR(XIRR($C77:EP77,$C$58:EP$58),"NaN")</f>
        <v>NaN</v>
      </c>
      <c r="EQ83" s="425" t="str">
        <f ca="1">IFERROR(XIRR($C77:EQ77,$C$58:EQ$58),"NaN")</f>
        <v>NaN</v>
      </c>
      <c r="ER83" s="425" t="str">
        <f ca="1">IFERROR(XIRR($C77:ER77,$C$58:ER$58),"NaN")</f>
        <v>NaN</v>
      </c>
      <c r="ES83" s="425" t="str">
        <f ca="1">IFERROR(XIRR($C77:ES77,$C$58:ES$58),"NaN")</f>
        <v>NaN</v>
      </c>
      <c r="ET83" s="425" t="str">
        <f ca="1">IFERROR(XIRR($C77:ET77,$C$58:ET$58),"NaN")</f>
        <v>NaN</v>
      </c>
      <c r="EU83" s="425" t="str">
        <f ca="1">IFERROR(XIRR($C77:EU77,$C$58:EU$58),"NaN")</f>
        <v>NaN</v>
      </c>
      <c r="EV83" s="425" t="str">
        <f ca="1">IFERROR(XIRR($C77:EV77,$C$58:EV$58),"NaN")</f>
        <v>NaN</v>
      </c>
      <c r="EW83" s="425" t="str">
        <f ca="1">IFERROR(XIRR($C77:EW77,$C$58:EW$58),"NaN")</f>
        <v>NaN</v>
      </c>
      <c r="EX83" s="425" t="str">
        <f ca="1">IFERROR(XIRR($C77:EX77,$C$58:EX$58),"NaN")</f>
        <v>NaN</v>
      </c>
      <c r="EY83" s="425" t="str">
        <f ca="1">IFERROR(XIRR($C77:EY77,$C$58:EY$58),"NaN")</f>
        <v>NaN</v>
      </c>
      <c r="EZ83" s="425" t="str">
        <f ca="1">IFERROR(XIRR($C77:EZ77,$C$58:EZ$58),"NaN")</f>
        <v>NaN</v>
      </c>
      <c r="FA83" s="425" t="str">
        <f ca="1">IFERROR(XIRR($C77:FA77,$C$58:FA$58),"NaN")</f>
        <v>NaN</v>
      </c>
      <c r="FB83" s="425" t="str">
        <f ca="1">IFERROR(XIRR($C77:FB77,$C$58:FB$58),"NaN")</f>
        <v>NaN</v>
      </c>
      <c r="FC83" s="425" t="str">
        <f ca="1">IFERROR(XIRR($C77:FC77,$C$58:FC$58),"NaN")</f>
        <v>NaN</v>
      </c>
      <c r="FD83" s="425" t="str">
        <f ca="1">IFERROR(XIRR($C77:FD77,$C$58:FD$58),"NaN")</f>
        <v>NaN</v>
      </c>
      <c r="FE83" s="425" t="str">
        <f ca="1">IFERROR(XIRR($C77:FE77,$C$58:FE$58),"NaN")</f>
        <v>NaN</v>
      </c>
      <c r="FF83" s="425" t="str">
        <f ca="1">IFERROR(XIRR($C77:FF77,$C$58:FF$58),"NaN")</f>
        <v>NaN</v>
      </c>
      <c r="FG83" s="425" t="str">
        <f ca="1">IFERROR(XIRR($C77:FG77,$C$58:FG$58),"NaN")</f>
        <v>NaN</v>
      </c>
      <c r="FH83" s="425" t="str">
        <f ca="1">IFERROR(XIRR($C77:FH77,$C$58:FH$58),"NaN")</f>
        <v>NaN</v>
      </c>
      <c r="FI83" s="425" t="str">
        <f ca="1">IFERROR(XIRR($C77:FI77,$C$58:FI$58),"NaN")</f>
        <v>NaN</v>
      </c>
      <c r="FJ83" s="425" t="str">
        <f ca="1">IFERROR(XIRR($C77:FJ77,$C$58:FJ$58),"NaN")</f>
        <v>NaN</v>
      </c>
      <c r="FK83" s="425" t="str">
        <f ca="1">IFERROR(XIRR($C77:FK77,$C$58:FK$58),"NaN")</f>
        <v>NaN</v>
      </c>
      <c r="FL83" s="425" t="str">
        <f ca="1">IFERROR(XIRR($C77:FL77,$C$58:FL$58),"NaN")</f>
        <v>NaN</v>
      </c>
      <c r="FM83" s="425" t="str">
        <f ca="1">IFERROR(XIRR($C77:FM77,$C$58:FM$58),"NaN")</f>
        <v>NaN</v>
      </c>
      <c r="FN83" s="425" t="str">
        <f ca="1">IFERROR(XIRR($C77:FN77,$C$58:FN$58),"NaN")</f>
        <v>NaN</v>
      </c>
      <c r="FO83" s="425" t="str">
        <f ca="1">IFERROR(XIRR($C77:FO77,$C$58:FO$58),"NaN")</f>
        <v>NaN</v>
      </c>
      <c r="FP83" s="425" t="str">
        <f ca="1">IFERROR(XIRR($C77:FP77,$C$58:FP$58),"NaN")</f>
        <v>NaN</v>
      </c>
      <c r="FQ83" s="425" t="str">
        <f ca="1">IFERROR(XIRR($C77:FQ77,$C$58:FQ$58),"NaN")</f>
        <v>NaN</v>
      </c>
      <c r="FR83" s="425" t="str">
        <f ca="1">IFERROR(XIRR($C77:FR77,$C$58:FR$58),"NaN")</f>
        <v>NaN</v>
      </c>
      <c r="FS83" s="425" t="str">
        <f ca="1">IFERROR(XIRR($C77:FS77,$C$58:FS$58),"NaN")</f>
        <v>NaN</v>
      </c>
      <c r="FT83" s="425" t="str">
        <f ca="1">IFERROR(XIRR($C77:FT77,$C$58:FT$58),"NaN")</f>
        <v>NaN</v>
      </c>
      <c r="FU83" s="425" t="str">
        <f ca="1">IFERROR(XIRR($C77:FU77,$C$58:FU$58),"NaN")</f>
        <v>NaN</v>
      </c>
      <c r="FV83" s="425" t="str">
        <f ca="1">IFERROR(XIRR($C77:FV77,$C$58:FV$58),"NaN")</f>
        <v>NaN</v>
      </c>
      <c r="FW83" s="425" t="str">
        <f ca="1">IFERROR(XIRR($C77:FW77,$C$58:FW$58),"NaN")</f>
        <v>NaN</v>
      </c>
      <c r="FX83" s="425" t="str">
        <f ca="1">IFERROR(XIRR($C77:FX77,$C$58:FX$58),"NaN")</f>
        <v>NaN</v>
      </c>
      <c r="FY83" s="425" t="str">
        <f ca="1">IFERROR(XIRR($C77:FY77,$C$58:FY$58),"NaN")</f>
        <v>NaN</v>
      </c>
      <c r="FZ83" s="425" t="str">
        <f ca="1">IFERROR(XIRR($C77:FZ77,$C$58:FZ$58),"NaN")</f>
        <v>NaN</v>
      </c>
      <c r="GA83" s="426" t="str">
        <f ca="1">IFERROR(XIRR($C77:GA77,$C$58:GA$58),"NaN")</f>
        <v>NaN</v>
      </c>
    </row>
    <row r="85" spans="1:183" x14ac:dyDescent="0.15">
      <c r="BW85" s="55">
        <f t="shared" ref="BW85:DB85" si="72">BW56</f>
        <v>72</v>
      </c>
      <c r="BX85" s="55">
        <f t="shared" si="72"/>
        <v>73</v>
      </c>
      <c r="BY85" s="55">
        <f t="shared" si="72"/>
        <v>74</v>
      </c>
      <c r="BZ85" s="55">
        <f t="shared" si="72"/>
        <v>75</v>
      </c>
      <c r="CA85" s="55">
        <f t="shared" si="72"/>
        <v>76</v>
      </c>
      <c r="CB85" s="55">
        <f t="shared" si="72"/>
        <v>77</v>
      </c>
      <c r="CC85" s="55">
        <f t="shared" si="72"/>
        <v>78</v>
      </c>
      <c r="CD85" s="55">
        <f t="shared" si="72"/>
        <v>79</v>
      </c>
      <c r="CE85" s="55">
        <f t="shared" si="72"/>
        <v>80</v>
      </c>
      <c r="CF85" s="55">
        <f t="shared" si="72"/>
        <v>81</v>
      </c>
      <c r="CG85" s="55">
        <f t="shared" si="72"/>
        <v>82</v>
      </c>
      <c r="CH85" s="55">
        <f t="shared" si="72"/>
        <v>83</v>
      </c>
      <c r="CI85" s="55">
        <f t="shared" si="72"/>
        <v>84</v>
      </c>
      <c r="CJ85" s="55">
        <f t="shared" si="72"/>
        <v>85</v>
      </c>
      <c r="CK85" s="55">
        <f t="shared" si="72"/>
        <v>86</v>
      </c>
      <c r="CL85" s="55">
        <f t="shared" si="72"/>
        <v>87</v>
      </c>
      <c r="CM85" s="55">
        <f t="shared" si="72"/>
        <v>88</v>
      </c>
      <c r="CN85" s="55">
        <f t="shared" si="72"/>
        <v>89</v>
      </c>
      <c r="CO85" s="55">
        <f t="shared" si="72"/>
        <v>90</v>
      </c>
      <c r="CP85" s="55">
        <f t="shared" si="72"/>
        <v>91</v>
      </c>
      <c r="CQ85" s="55">
        <f t="shared" si="72"/>
        <v>92</v>
      </c>
      <c r="CR85" s="55">
        <f t="shared" si="72"/>
        <v>93</v>
      </c>
      <c r="CS85" s="55">
        <f t="shared" si="72"/>
        <v>94</v>
      </c>
      <c r="CT85" s="55">
        <f t="shared" si="72"/>
        <v>95</v>
      </c>
      <c r="CU85" s="55">
        <f t="shared" si="72"/>
        <v>96</v>
      </c>
      <c r="CV85" s="55">
        <f t="shared" si="72"/>
        <v>97</v>
      </c>
      <c r="CW85" s="55">
        <f t="shared" si="72"/>
        <v>98</v>
      </c>
      <c r="CX85" s="55">
        <f t="shared" si="72"/>
        <v>99</v>
      </c>
      <c r="CY85" s="55">
        <f t="shared" si="72"/>
        <v>100</v>
      </c>
      <c r="CZ85" s="55">
        <f t="shared" si="72"/>
        <v>101</v>
      </c>
      <c r="DA85" s="55">
        <f t="shared" si="72"/>
        <v>102</v>
      </c>
      <c r="DB85" s="55">
        <f t="shared" si="72"/>
        <v>103</v>
      </c>
      <c r="DC85" s="55">
        <f t="shared" ref="DC85:EH85" si="73">DC56</f>
        <v>104</v>
      </c>
      <c r="DD85" s="55">
        <f t="shared" si="73"/>
        <v>105</v>
      </c>
      <c r="DE85" s="55">
        <f t="shared" si="73"/>
        <v>106</v>
      </c>
      <c r="DF85" s="55">
        <f t="shared" si="73"/>
        <v>107</v>
      </c>
      <c r="DG85" s="55">
        <f t="shared" si="73"/>
        <v>108</v>
      </c>
      <c r="DH85" s="55">
        <f t="shared" si="73"/>
        <v>109</v>
      </c>
      <c r="DI85" s="55">
        <f t="shared" si="73"/>
        <v>110</v>
      </c>
      <c r="DJ85" s="55">
        <f t="shared" si="73"/>
        <v>111</v>
      </c>
      <c r="DK85" s="55">
        <f t="shared" si="73"/>
        <v>112</v>
      </c>
      <c r="DL85" s="55">
        <f t="shared" si="73"/>
        <v>113</v>
      </c>
      <c r="DM85" s="55">
        <f t="shared" si="73"/>
        <v>114</v>
      </c>
      <c r="DN85" s="55">
        <f t="shared" si="73"/>
        <v>115</v>
      </c>
      <c r="DO85" s="55">
        <f t="shared" si="73"/>
        <v>116</v>
      </c>
      <c r="DP85" s="55">
        <f t="shared" si="73"/>
        <v>117</v>
      </c>
      <c r="DQ85" s="55">
        <f t="shared" si="73"/>
        <v>118</v>
      </c>
      <c r="DR85" s="55">
        <f t="shared" si="73"/>
        <v>119</v>
      </c>
      <c r="DS85" s="55">
        <f t="shared" si="73"/>
        <v>120</v>
      </c>
      <c r="DT85" s="55">
        <f t="shared" si="73"/>
        <v>121</v>
      </c>
      <c r="DU85" s="55">
        <f t="shared" si="73"/>
        <v>122</v>
      </c>
      <c r="DV85" s="55">
        <f t="shared" si="73"/>
        <v>123</v>
      </c>
      <c r="DW85" s="55">
        <f t="shared" si="73"/>
        <v>124</v>
      </c>
      <c r="DX85" s="55">
        <f t="shared" si="73"/>
        <v>125</v>
      </c>
      <c r="DY85" s="55">
        <f t="shared" si="73"/>
        <v>126</v>
      </c>
      <c r="DZ85" s="55">
        <f t="shared" si="73"/>
        <v>127</v>
      </c>
      <c r="EA85" s="55">
        <f t="shared" si="73"/>
        <v>128</v>
      </c>
      <c r="EB85" s="55">
        <f t="shared" si="73"/>
        <v>129</v>
      </c>
      <c r="EC85" s="55">
        <f t="shared" si="73"/>
        <v>130</v>
      </c>
      <c r="ED85" s="55">
        <f t="shared" si="73"/>
        <v>131</v>
      </c>
      <c r="EE85" s="55">
        <f t="shared" si="73"/>
        <v>132</v>
      </c>
      <c r="EF85" s="55">
        <f t="shared" si="73"/>
        <v>133</v>
      </c>
      <c r="EG85" s="55">
        <f t="shared" si="73"/>
        <v>134</v>
      </c>
      <c r="EH85" s="55">
        <f t="shared" si="73"/>
        <v>135</v>
      </c>
      <c r="EI85" s="55">
        <f t="shared" ref="EI85:FN85" si="74">EI56</f>
        <v>136</v>
      </c>
      <c r="EJ85" s="55">
        <f t="shared" si="74"/>
        <v>137</v>
      </c>
      <c r="EK85" s="55">
        <f t="shared" si="74"/>
        <v>138</v>
      </c>
      <c r="EL85" s="55">
        <f t="shared" si="74"/>
        <v>139</v>
      </c>
      <c r="EM85" s="55">
        <f t="shared" si="74"/>
        <v>140</v>
      </c>
      <c r="EN85" s="55">
        <f t="shared" si="74"/>
        <v>141</v>
      </c>
      <c r="EO85" s="55">
        <f t="shared" si="74"/>
        <v>142</v>
      </c>
      <c r="EP85" s="55">
        <f t="shared" si="74"/>
        <v>143</v>
      </c>
      <c r="EQ85" s="55">
        <f t="shared" si="74"/>
        <v>144</v>
      </c>
      <c r="ER85" s="55">
        <f t="shared" si="74"/>
        <v>145</v>
      </c>
      <c r="ES85" s="55">
        <f t="shared" si="74"/>
        <v>146</v>
      </c>
      <c r="ET85" s="55">
        <f t="shared" si="74"/>
        <v>147</v>
      </c>
      <c r="EU85" s="55">
        <f t="shared" si="74"/>
        <v>148</v>
      </c>
      <c r="EV85" s="55">
        <f t="shared" si="74"/>
        <v>149</v>
      </c>
      <c r="EW85" s="55">
        <f t="shared" si="74"/>
        <v>150</v>
      </c>
      <c r="EX85" s="55">
        <f t="shared" si="74"/>
        <v>151</v>
      </c>
      <c r="EY85" s="55">
        <f t="shared" si="74"/>
        <v>152</v>
      </c>
      <c r="EZ85" s="55">
        <f t="shared" si="74"/>
        <v>153</v>
      </c>
      <c r="FA85" s="55">
        <f t="shared" si="74"/>
        <v>154</v>
      </c>
      <c r="FB85" s="55">
        <f t="shared" si="74"/>
        <v>155</v>
      </c>
      <c r="FC85" s="55">
        <f t="shared" si="74"/>
        <v>156</v>
      </c>
      <c r="FD85" s="55">
        <f t="shared" si="74"/>
        <v>157</v>
      </c>
      <c r="FE85" s="55">
        <f t="shared" si="74"/>
        <v>158</v>
      </c>
      <c r="FF85" s="55">
        <f t="shared" si="74"/>
        <v>159</v>
      </c>
      <c r="FG85" s="55">
        <f t="shared" si="74"/>
        <v>160</v>
      </c>
      <c r="FH85" s="55">
        <f t="shared" si="74"/>
        <v>161</v>
      </c>
      <c r="FI85" s="55">
        <f t="shared" si="74"/>
        <v>162</v>
      </c>
      <c r="FJ85" s="55">
        <f t="shared" si="74"/>
        <v>163</v>
      </c>
      <c r="FK85" s="55">
        <f t="shared" si="74"/>
        <v>164</v>
      </c>
      <c r="FL85" s="55">
        <f t="shared" si="74"/>
        <v>165</v>
      </c>
      <c r="FM85" s="55">
        <f t="shared" si="74"/>
        <v>166</v>
      </c>
      <c r="FN85" s="55">
        <f t="shared" si="74"/>
        <v>167</v>
      </c>
      <c r="FO85" s="55">
        <f t="shared" ref="FO85:GA85" si="75">FO56</f>
        <v>168</v>
      </c>
      <c r="FP85" s="55">
        <f t="shared" si="75"/>
        <v>169</v>
      </c>
      <c r="FQ85" s="55">
        <f t="shared" si="75"/>
        <v>170</v>
      </c>
      <c r="FR85" s="55">
        <f t="shared" si="75"/>
        <v>171</v>
      </c>
      <c r="FS85" s="55">
        <f t="shared" si="75"/>
        <v>172</v>
      </c>
      <c r="FT85" s="55">
        <f t="shared" si="75"/>
        <v>173</v>
      </c>
      <c r="FU85" s="55">
        <f t="shared" si="75"/>
        <v>174</v>
      </c>
      <c r="FV85" s="55">
        <f t="shared" si="75"/>
        <v>175</v>
      </c>
      <c r="FW85" s="55">
        <f t="shared" si="75"/>
        <v>176</v>
      </c>
      <c r="FX85" s="55">
        <f t="shared" si="75"/>
        <v>177</v>
      </c>
      <c r="FY85" s="55">
        <f t="shared" si="75"/>
        <v>178</v>
      </c>
      <c r="FZ85" s="55">
        <f t="shared" si="75"/>
        <v>179</v>
      </c>
      <c r="GA85" s="55">
        <f t="shared" si="75"/>
        <v>180</v>
      </c>
    </row>
    <row r="86" spans="1:183" x14ac:dyDescent="0.15">
      <c r="A86" s="55" t="s">
        <v>303</v>
      </c>
      <c r="BK86" s="254"/>
      <c r="BL86" s="254"/>
      <c r="BM86" s="254"/>
      <c r="BN86" s="254"/>
      <c r="BO86" s="254"/>
      <c r="BP86" s="254"/>
      <c r="BQ86" s="254"/>
      <c r="BR86" s="254"/>
      <c r="BS86" s="254"/>
      <c r="BT86" s="254"/>
      <c r="BU86" s="254"/>
      <c r="BV86" s="254"/>
      <c r="BW86" s="254">
        <f ca="1">MAX((-XNPV(BlendedReqIRR,$C62:BW62,$C58:BW58)*FV(BlendedReqIRR,(BW58-$C58)/365,0,-1)),0)</f>
        <v>67776.503073910717</v>
      </c>
      <c r="BX86" s="254">
        <f ca="1">MAX((-XNPV(BlendedReqIRR,$C62:BX62,$C58:BX58)*FV(BlendedReqIRR,(BX58-$C58)/365,0,-1)),0)</f>
        <v>66200.075118637644</v>
      </c>
      <c r="BY86" s="254">
        <f ca="1">MAX((-XNPV(BlendedReqIRR,$C62:BY62,$C58:BY58)*FV(BlendedReqIRR,(BY58-$C58)/365,0,-1)),0)</f>
        <v>64579.176750299303</v>
      </c>
      <c r="BZ86" s="254">
        <f ca="1">MAX((-XNPV(BlendedReqIRR,$C62:BZ62,$C58:BZ58)*FV(BlendedReqIRR,(BZ58-$C58)/365,0,-1)),0)</f>
        <v>62964.569768602771</v>
      </c>
      <c r="CA86" s="254">
        <f ca="1">MAX((-XNPV(BlendedReqIRR,$C62:CA62,$C58:CA58)*FV(BlendedReqIRR,(CA58-$C58)/365,0,-1)),0)</f>
        <v>61330.682889773874</v>
      </c>
      <c r="CB86" s="254">
        <f ca="1">MAX((-XNPV(BlendedReqIRR,$C62:CB62,$C58:CB58)*FV(BlendedReqIRR,(CB58-$C58)/365,0,-1)),0)</f>
        <v>59629.775051356184</v>
      </c>
      <c r="CC86" s="254">
        <f ca="1">MAX((-XNPV(BlendedReqIRR,$C62:CC62,$C58:CC58)*FV(BlendedReqIRR,(CC58-$C58)/365,0,-1)),0)</f>
        <v>57956.067646644042</v>
      </c>
      <c r="CD86" s="254">
        <f ca="1">MAX((-XNPV(BlendedReqIRR,$C62:CD62,$C58:CD58)*FV(BlendedReqIRR,(CD58-$C58)/365,0,-1)),0)</f>
        <v>56239.922013197211</v>
      </c>
      <c r="CE86" s="254">
        <f ca="1">MAX((-XNPV(BlendedReqIRR,$C62:CE62,$C58:CE58)*FV(BlendedReqIRR,(CE58-$C58)/365,0,-1)),0)</f>
        <v>54525.736635448702</v>
      </c>
      <c r="CF86" s="254">
        <f ca="1">MAX((-XNPV(BlendedReqIRR,$C62:CF62,$C58:CF58)*FV(BlendedReqIRR,(CF58-$C58)/365,0,-1)),0)</f>
        <v>52769.958620742742</v>
      </c>
      <c r="CG86" s="254">
        <f ca="1">MAX((-XNPV(BlendedReqIRR,$C62:CG62,$C58:CG58)*FV(BlendedReqIRR,(CG58-$C58)/365,0,-1)),0)</f>
        <v>51014.338678411114</v>
      </c>
      <c r="CH86" s="254">
        <f ca="1">MAX((-XNPV(BlendedReqIRR,$C62:CH62,$C58:CH58)*FV(BlendedReqIRR,(CH58-$C58)/365,0,-1)),0)</f>
        <v>49237.755014086855</v>
      </c>
      <c r="CI86" s="254">
        <f ca="1">MAX((-XNPV(BlendedReqIRR,$C62:CI62,$C58:CI58)*FV(BlendedReqIRR,(CI58-$C58)/365,0,-1)),0)</f>
        <v>47420.88222367991</v>
      </c>
      <c r="CJ86" s="254">
        <f ca="1">MAX((-XNPV(BlendedReqIRR,$C62:CJ62,$C58:CJ58)*FV(BlendedReqIRR,(CJ58-$C58)/365,0,-1)),0)</f>
        <v>45518.505248847701</v>
      </c>
      <c r="CK86" s="254">
        <f ca="1">MAX((-XNPV(BlendedReqIRR,$C62:CK62,$C58:CK58)*FV(BlendedReqIRR,(CK58-$C58)/365,0,-1)),0)</f>
        <v>43575.777925167451</v>
      </c>
      <c r="CL86" s="254">
        <f ca="1">MAX((-XNPV(BlendedReqIRR,$C62:CL62,$C58:CL58)*FV(BlendedReqIRR,(CL58-$C58)/365,0,-1)),0)</f>
        <v>41627.486857197546</v>
      </c>
      <c r="CM86" s="254">
        <f ca="1">MAX((-XNPV(BlendedReqIRR,$C62:CM62,$C58:CM58)*FV(BlendedReqIRR,(CM58-$C58)/365,0,-1)),0)</f>
        <v>39655.931396220476</v>
      </c>
      <c r="CN86" s="254">
        <f ca="1">MAX((-XNPV(BlendedReqIRR,$C62:CN62,$C58:CN58)*FV(BlendedReqIRR,(CN58-$C58)/365,0,-1)),0)</f>
        <v>37614.762364849732</v>
      </c>
      <c r="CO86" s="254">
        <f ca="1">MAX((-XNPV(BlendedReqIRR,$C62:CO62,$C58:CO58)*FV(BlendedReqIRR,(CO58-$C58)/365,0,-1)),0)</f>
        <v>35595.291270960224</v>
      </c>
      <c r="CP86" s="254">
        <f ca="1">MAX((-XNPV(BlendedReqIRR,$C62:CP62,$C58:CP58)*FV(BlendedReqIRR,(CP58-$C58)/365,0,-1)),0)</f>
        <v>33537.915944389242</v>
      </c>
      <c r="CQ86" s="254">
        <f ca="1">MAX((-XNPV(BlendedReqIRR,$C62:CQ62,$C58:CQ58)*FV(BlendedReqIRR,(CQ58-$C58)/365,0,-1)),0)</f>
        <v>31469.76354260138</v>
      </c>
      <c r="CR86" s="254">
        <f ca="1">MAX((-XNPV(BlendedReqIRR,$C62:CR62,$C58:CR58)*FV(BlendedReqIRR,(CR58-$C58)/365,0,-1)),0)</f>
        <v>29364.723868977053</v>
      </c>
      <c r="CS86" s="254">
        <f ca="1">MAX((-XNPV(BlendedReqIRR,$C62:CS62,$C58:CS58)*FV(BlendedReqIRR,(CS58-$C58)/365,0,-1)),0)</f>
        <v>27246.739703274201</v>
      </c>
      <c r="CT86" s="254">
        <f ca="1">MAX((-XNPV(BlendedReqIRR,$C62:CT62,$C58:CT58)*FV(BlendedReqIRR,(CT58-$C58)/365,0,-1)),0)</f>
        <v>25103.464852404264</v>
      </c>
      <c r="CU86" s="254">
        <f ca="1">MAX((-XNPV(BlendedReqIRR,$C62:CU62,$C58:CU58)*FV(BlendedReqIRR,(CU58-$C58)/365,0,-1)),0)</f>
        <v>22924.872050502814</v>
      </c>
      <c r="CV86" s="254">
        <f ca="1">MAX((-XNPV(BlendedReqIRR,$C62:CV62,$C58:CV58)*FV(BlendedReqIRR,(CV58-$C58)/365,0,-1)),0)</f>
        <v>20644.229716679787</v>
      </c>
      <c r="CW86" s="254">
        <f ca="1">MAX((-XNPV(BlendedReqIRR,$C62:CW62,$C58:CW58)*FV(BlendedReqIRR,(CW58-$C58)/365,0,-1)),0)</f>
        <v>18328.356678679043</v>
      </c>
      <c r="CX86" s="254">
        <f ca="1">MAX((-XNPV(BlendedReqIRR,$C62:CX62,$C58:CX58)*FV(BlendedReqIRR,(CX58-$C58)/365,0,-1)),0)</f>
        <v>15992.82771018854</v>
      </c>
      <c r="CY86" s="254">
        <f ca="1">MAX((-XNPV(BlendedReqIRR,$C62:CY62,$C58:CY58)*FV(BlendedReqIRR,(CY58-$C58)/365,0,-1)),0)</f>
        <v>13629.410370860711</v>
      </c>
      <c r="CZ86" s="254">
        <f ca="1">MAX((-XNPV(BlendedReqIRR,$C62:CZ62,$C58:CZ58)*FV(BlendedReqIRR,(CZ58-$C58)/365,0,-1)),0)</f>
        <v>11221.93730199231</v>
      </c>
      <c r="DA86" s="254">
        <f ca="1">MAX((-XNPV(BlendedReqIRR,$C62:DA62,$C58:DA58)*FV(BlendedReqIRR,(DA58-$C58)/365,0,-1)),0)</f>
        <v>8801.5511291697876</v>
      </c>
      <c r="DB86" s="254">
        <f ca="1">MAX((-XNPV(BlendedReqIRR,$C62:DB62,$C58:DB58)*FV(BlendedReqIRR,(DB58-$C58)/365,0,-1)),0)</f>
        <v>6348.853524858142</v>
      </c>
      <c r="DC86" s="254">
        <f ca="1">MAX((-XNPV(BlendedReqIRR,$C62:DC62,$C58:DC58)*FV(BlendedReqIRR,(DC58-$C58)/365,0,-1)),0)</f>
        <v>3870.2782354236906</v>
      </c>
      <c r="DD86" s="254">
        <f ca="1">MAX((-XNPV(BlendedReqIRR,$C62:DD62,$C58:DD58)*FV(BlendedReqIRR,(DD58-$C58)/365,0,-1)),0)</f>
        <v>1360.6070950946851</v>
      </c>
      <c r="DE86" s="254">
        <f ca="1">MAX((-XNPV(BlendedReqIRR,$C62:DE62,$C58:DE58)*FV(BlendedReqIRR,(DE58-$C58)/365,0,-1)),0)</f>
        <v>0</v>
      </c>
      <c r="DF86" s="254">
        <f ca="1">MAX((-XNPV(BlendedReqIRR,$C62:DF62,$C58:DF58)*FV(BlendedReqIRR,(DF58-$C58)/365,0,-1)),0)</f>
        <v>0</v>
      </c>
      <c r="DG86" s="254">
        <f ca="1">MAX((-XNPV(BlendedReqIRR,$C62:DG62,$C58:DG58)*FV(BlendedReqIRR,(DG58-$C58)/365,0,-1)),0)</f>
        <v>0</v>
      </c>
      <c r="DH86" s="254">
        <f ca="1">MAX((-XNPV(BlendedReqIRR,$C62:DH62,$C58:DH58)*FV(BlendedReqIRR,(DH58-$C58)/365,0,-1)),0)</f>
        <v>0</v>
      </c>
      <c r="DI86" s="254">
        <f ca="1">MAX((-XNPV(BlendedReqIRR,$C62:DI62,$C58:DI58)*FV(BlendedReqIRR,(DI58-$C58)/365,0,-1)),0)</f>
        <v>0</v>
      </c>
      <c r="DJ86" s="254">
        <f ca="1">MAX((-XNPV(BlendedReqIRR,$C62:DJ62,$C58:DJ58)*FV(BlendedReqIRR,(DJ58-$C58)/365,0,-1)),0)</f>
        <v>0</v>
      </c>
      <c r="DK86" s="254">
        <f ca="1">MAX((-XNPV(BlendedReqIRR,$C62:DK62,$C58:DK58)*FV(BlendedReqIRR,(DK58-$C58)/365,0,-1)),0)</f>
        <v>0</v>
      </c>
      <c r="DL86" s="254">
        <f ca="1">MAX((-XNPV(BlendedReqIRR,$C62:DL62,$C58:DL58)*FV(BlendedReqIRR,(DL58-$C58)/365,0,-1)),0)</f>
        <v>0</v>
      </c>
      <c r="DM86" s="254">
        <f ca="1">MAX((-XNPV(BlendedReqIRR,$C62:DM62,$C58:DM58)*FV(BlendedReqIRR,(DM58-$C58)/365,0,-1)),0)</f>
        <v>0</v>
      </c>
      <c r="DN86" s="254">
        <f ca="1">MAX((-XNPV(BlendedReqIRR,$C62:DN62,$C58:DN58)*FV(BlendedReqIRR,(DN58-$C58)/365,0,-1)),0)</f>
        <v>0</v>
      </c>
      <c r="DO86" s="254">
        <f ca="1">MAX((-XNPV(BlendedReqIRR,$C62:DO62,$C58:DO58)*FV(BlendedReqIRR,(DO58-$C58)/365,0,-1)),0)</f>
        <v>0</v>
      </c>
      <c r="DP86" s="254">
        <f ca="1">MAX((-XNPV(BlendedReqIRR,$C62:DP62,$C58:DP58)*FV(BlendedReqIRR,(DP58-$C58)/365,0,-1)),0)</f>
        <v>0</v>
      </c>
      <c r="DQ86" s="254">
        <f ca="1">MAX((-XNPV(BlendedReqIRR,$C62:DQ62,$C58:DQ58)*FV(BlendedReqIRR,(DQ58-$C58)/365,0,-1)),0)</f>
        <v>0</v>
      </c>
      <c r="DR86" s="254">
        <f ca="1">MAX((-XNPV(BlendedReqIRR,$C62:DR62,$C58:DR58)*FV(BlendedReqIRR,(DR58-$C58)/365,0,-1)),0)</f>
        <v>0</v>
      </c>
      <c r="DS86" s="254">
        <f ca="1">MAX((-XNPV(BlendedReqIRR,$C62:DS62,$C58:DS58)*FV(BlendedReqIRR,(DS58-$C58)/365,0,-1)),0)</f>
        <v>0</v>
      </c>
      <c r="DT86" s="254">
        <f ca="1">MAX((-XNPV(BlendedReqIRR,$C62:DT62,$C58:DT58)*FV(BlendedReqIRR,(DT58-$C58)/365,0,-1)),0)</f>
        <v>0</v>
      </c>
      <c r="DU86" s="254">
        <f ca="1">MAX((-XNPV(BlendedReqIRR,$C62:DU62,$C58:DU58)*FV(BlendedReqIRR,(DU58-$C58)/365,0,-1)),0)</f>
        <v>0</v>
      </c>
      <c r="DV86" s="254">
        <f ca="1">MAX((-XNPV(BlendedReqIRR,$C62:DV62,$C58:DV58)*FV(BlendedReqIRR,(DV58-$C58)/365,0,-1)),0)</f>
        <v>0</v>
      </c>
      <c r="DW86" s="254">
        <f ca="1">MAX((-XNPV(BlendedReqIRR,$C62:DW62,$C58:DW58)*FV(BlendedReqIRR,(DW58-$C58)/365,0,-1)),0)</f>
        <v>0</v>
      </c>
      <c r="DX86" s="254">
        <f ca="1">MAX((-XNPV(BlendedReqIRR,$C62:DX62,$C58:DX58)*FV(BlendedReqIRR,(DX58-$C58)/365,0,-1)),0)</f>
        <v>0</v>
      </c>
      <c r="DY86" s="254">
        <f ca="1">MAX((-XNPV(BlendedReqIRR,$C62:DY62,$C58:DY58)*FV(BlendedReqIRR,(DY58-$C58)/365,0,-1)),0)</f>
        <v>0</v>
      </c>
      <c r="DZ86" s="254">
        <f ca="1">MAX((-XNPV(BlendedReqIRR,$C62:DZ62,$C58:DZ58)*FV(BlendedReqIRR,(DZ58-$C58)/365,0,-1)),0)</f>
        <v>0</v>
      </c>
      <c r="EA86" s="254">
        <f ca="1">MAX((-XNPV(BlendedReqIRR,$C62:EA62,$C58:EA58)*FV(BlendedReqIRR,(EA58-$C58)/365,0,-1)),0)</f>
        <v>0</v>
      </c>
      <c r="EB86" s="254">
        <f ca="1">MAX((-XNPV(BlendedReqIRR,$C62:EB62,$C58:EB58)*FV(BlendedReqIRR,(EB58-$C58)/365,0,-1)),0)</f>
        <v>0</v>
      </c>
      <c r="EC86" s="254">
        <f ca="1">MAX((-XNPV(BlendedReqIRR,$C62:EC62,$C58:EC58)*FV(BlendedReqIRR,(EC58-$C58)/365,0,-1)),0)</f>
        <v>0</v>
      </c>
      <c r="ED86" s="254">
        <f ca="1">MAX((-XNPV(BlendedReqIRR,$C62:ED62,$C58:ED58)*FV(BlendedReqIRR,(ED58-$C58)/365,0,-1)),0)</f>
        <v>0</v>
      </c>
      <c r="EE86" s="254">
        <f ca="1">MAX((-XNPV(BlendedReqIRR,$C62:EE62,$C58:EE58)*FV(BlendedReqIRR,(EE58-$C58)/365,0,-1)),0)</f>
        <v>0</v>
      </c>
      <c r="EF86" s="254">
        <f ca="1">MAX((-XNPV(BlendedReqIRR,$C62:EF62,$C58:EF58)*FV(BlendedReqIRR,(EF58-$C58)/365,0,-1)),0)</f>
        <v>0</v>
      </c>
      <c r="EG86" s="254">
        <f ca="1">MAX((-XNPV(BlendedReqIRR,$C62:EG62,$C58:EG58)*FV(BlendedReqIRR,(EG58-$C58)/365,0,-1)),0)</f>
        <v>0</v>
      </c>
      <c r="EH86" s="254">
        <f ca="1">MAX((-XNPV(BlendedReqIRR,$C62:EH62,$C58:EH58)*FV(BlendedReqIRR,(EH58-$C58)/365,0,-1)),0)</f>
        <v>0</v>
      </c>
      <c r="EI86" s="254">
        <f ca="1">MAX((-XNPV(BlendedReqIRR,$C62:EI62,$C58:EI58)*FV(BlendedReqIRR,(EI58-$C58)/365,0,-1)),0)</f>
        <v>0</v>
      </c>
      <c r="EJ86" s="254">
        <f ca="1">MAX((-XNPV(BlendedReqIRR,$C62:EJ62,$C58:EJ58)*FV(BlendedReqIRR,(EJ58-$C58)/365,0,-1)),0)</f>
        <v>0</v>
      </c>
      <c r="EK86" s="254">
        <f ca="1">MAX((-XNPV(BlendedReqIRR,$C62:EK62,$C58:EK58)*FV(BlendedReqIRR,(EK58-$C58)/365,0,-1)),0)</f>
        <v>0</v>
      </c>
      <c r="EL86" s="254">
        <f ca="1">MAX((-XNPV(BlendedReqIRR,$C62:EL62,$C58:EL58)*FV(BlendedReqIRR,(EL58-$C58)/365,0,-1)),0)</f>
        <v>0</v>
      </c>
      <c r="EM86" s="254">
        <f ca="1">MAX((-XNPV(BlendedReqIRR,$C62:EM62,$C58:EM58)*FV(BlendedReqIRR,(EM58-$C58)/365,0,-1)),0)</f>
        <v>0</v>
      </c>
      <c r="EN86" s="254">
        <f ca="1">MAX((-XNPV(BlendedReqIRR,$C62:EN62,$C58:EN58)*FV(BlendedReqIRR,(EN58-$C58)/365,0,-1)),0)</f>
        <v>0</v>
      </c>
      <c r="EO86" s="254">
        <f ca="1">MAX((-XNPV(BlendedReqIRR,$C62:EO62,$C58:EO58)*FV(BlendedReqIRR,(EO58-$C58)/365,0,-1)),0)</f>
        <v>0</v>
      </c>
      <c r="EP86" s="254">
        <f ca="1">MAX((-XNPV(BlendedReqIRR,$C62:EP62,$C58:EP58)*FV(BlendedReqIRR,(EP58-$C58)/365,0,-1)),0)</f>
        <v>0</v>
      </c>
      <c r="EQ86" s="254">
        <f ca="1">MAX((-XNPV(BlendedReqIRR,$C62:EQ62,$C58:EQ58)*FV(BlendedReqIRR,(EQ58-$C58)/365,0,-1)),0)</f>
        <v>0</v>
      </c>
      <c r="ER86" s="254">
        <f ca="1">MAX((-XNPV(BlendedReqIRR,$C62:ER62,$C58:ER58)*FV(BlendedReqIRR,(ER58-$C58)/365,0,-1)),0)</f>
        <v>0</v>
      </c>
      <c r="ES86" s="254">
        <f ca="1">MAX((-XNPV(BlendedReqIRR,$C62:ES62,$C58:ES58)*FV(BlendedReqIRR,(ES58-$C58)/365,0,-1)),0)</f>
        <v>0</v>
      </c>
      <c r="ET86" s="254">
        <f ca="1">MAX((-XNPV(BlendedReqIRR,$C62:ET62,$C58:ET58)*FV(BlendedReqIRR,(ET58-$C58)/365,0,-1)),0)</f>
        <v>0</v>
      </c>
      <c r="EU86" s="254">
        <f ca="1">MAX((-XNPV(BlendedReqIRR,$C62:EU62,$C58:EU58)*FV(BlendedReqIRR,(EU58-$C58)/365,0,-1)),0)</f>
        <v>0</v>
      </c>
      <c r="EV86" s="254">
        <f ca="1">MAX((-XNPV(BlendedReqIRR,$C62:EV62,$C58:EV58)*FV(BlendedReqIRR,(EV58-$C58)/365,0,-1)),0)</f>
        <v>0</v>
      </c>
      <c r="EW86" s="254">
        <f ca="1">MAX((-XNPV(BlendedReqIRR,$C62:EW62,$C58:EW58)*FV(BlendedReqIRR,(EW58-$C58)/365,0,-1)),0)</f>
        <v>0</v>
      </c>
      <c r="EX86" s="254">
        <f ca="1">MAX((-XNPV(BlendedReqIRR,$C62:EX62,$C58:EX58)*FV(BlendedReqIRR,(EX58-$C58)/365,0,-1)),0)</f>
        <v>0</v>
      </c>
      <c r="EY86" s="254">
        <f ca="1">MAX((-XNPV(BlendedReqIRR,$C62:EY62,$C58:EY58)*FV(BlendedReqIRR,(EY58-$C58)/365,0,-1)),0)</f>
        <v>0</v>
      </c>
      <c r="EZ86" s="254">
        <f ca="1">MAX((-XNPV(BlendedReqIRR,$C62:EZ62,$C58:EZ58)*FV(BlendedReqIRR,(EZ58-$C58)/365,0,-1)),0)</f>
        <v>0</v>
      </c>
      <c r="FA86" s="254">
        <f ca="1">MAX((-XNPV(BlendedReqIRR,$C62:FA62,$C58:FA58)*FV(BlendedReqIRR,(FA58-$C58)/365,0,-1)),0)</f>
        <v>0</v>
      </c>
      <c r="FB86" s="254">
        <f ca="1">MAX((-XNPV(BlendedReqIRR,$C62:FB62,$C58:FB58)*FV(BlendedReqIRR,(FB58-$C58)/365,0,-1)),0)</f>
        <v>0</v>
      </c>
      <c r="FC86" s="254">
        <f ca="1">MAX((-XNPV(BlendedReqIRR,$C62:FC62,$C58:FC58)*FV(BlendedReqIRR,(FC58-$C58)/365,0,-1)),0)</f>
        <v>0</v>
      </c>
      <c r="FD86" s="254">
        <f ca="1">MAX((-XNPV(BlendedReqIRR,$C62:FD62,$C58:FD58)*FV(BlendedReqIRR,(FD58-$C58)/365,0,-1)),0)</f>
        <v>0</v>
      </c>
      <c r="FE86" s="254">
        <f ca="1">MAX((-XNPV(BlendedReqIRR,$C62:FE62,$C58:FE58)*FV(BlendedReqIRR,(FE58-$C58)/365,0,-1)),0)</f>
        <v>0</v>
      </c>
      <c r="FF86" s="254">
        <f ca="1">MAX((-XNPV(BlendedReqIRR,$C62:FF62,$C58:FF58)*FV(BlendedReqIRR,(FF58-$C58)/365,0,-1)),0)</f>
        <v>0</v>
      </c>
      <c r="FG86" s="254">
        <f ca="1">MAX((-XNPV(BlendedReqIRR,$C62:FG62,$C58:FG58)*FV(BlendedReqIRR,(FG58-$C58)/365,0,-1)),0)</f>
        <v>0</v>
      </c>
      <c r="FH86" s="254">
        <f ca="1">MAX((-XNPV(BlendedReqIRR,$C62:FH62,$C58:FH58)*FV(BlendedReqIRR,(FH58-$C58)/365,0,-1)),0)</f>
        <v>0</v>
      </c>
      <c r="FI86" s="254">
        <f ca="1">MAX((-XNPV(BlendedReqIRR,$C62:FI62,$C58:FI58)*FV(BlendedReqIRR,(FI58-$C58)/365,0,-1)),0)</f>
        <v>0</v>
      </c>
      <c r="FJ86" s="254">
        <f ca="1">MAX((-XNPV(BlendedReqIRR,$C62:FJ62,$C58:FJ58)*FV(BlendedReqIRR,(FJ58-$C58)/365,0,-1)),0)</f>
        <v>0</v>
      </c>
      <c r="FK86" s="254">
        <f ca="1">MAX((-XNPV(BlendedReqIRR,$C62:FK62,$C58:FK58)*FV(BlendedReqIRR,(FK58-$C58)/365,0,-1)),0)</f>
        <v>0</v>
      </c>
      <c r="FL86" s="254">
        <f ca="1">MAX((-XNPV(BlendedReqIRR,$C62:FL62,$C58:FL58)*FV(BlendedReqIRR,(FL58-$C58)/365,0,-1)),0)</f>
        <v>0</v>
      </c>
      <c r="FM86" s="254">
        <f ca="1">MAX((-XNPV(BlendedReqIRR,$C62:FM62,$C58:FM58)*FV(BlendedReqIRR,(FM58-$C58)/365,0,-1)),0)</f>
        <v>0</v>
      </c>
      <c r="FN86" s="254">
        <f ca="1">MAX((-XNPV(BlendedReqIRR,$C62:FN62,$C58:FN58)*FV(BlendedReqIRR,(FN58-$C58)/365,0,-1)),0)</f>
        <v>0</v>
      </c>
      <c r="FO86" s="254">
        <f ca="1">MAX((-XNPV(BlendedReqIRR,$C62:FO62,$C58:FO58)*FV(BlendedReqIRR,(FO58-$C58)/365,0,-1)),0)</f>
        <v>0</v>
      </c>
      <c r="FP86" s="254">
        <f ca="1">MAX((-XNPV(BlendedReqIRR,$C62:FP62,$C58:FP58)*FV(BlendedReqIRR,(FP58-$C58)/365,0,-1)),0)</f>
        <v>0</v>
      </c>
      <c r="FQ86" s="254">
        <f ca="1">MAX((-XNPV(BlendedReqIRR,$C62:FQ62,$C58:FQ58)*FV(BlendedReqIRR,(FQ58-$C58)/365,0,-1)),0)</f>
        <v>0</v>
      </c>
      <c r="FR86" s="254">
        <f ca="1">MAX((-XNPV(BlendedReqIRR,$C62:FR62,$C58:FR58)*FV(BlendedReqIRR,(FR58-$C58)/365,0,-1)),0)</f>
        <v>0</v>
      </c>
      <c r="FS86" s="254">
        <f ca="1">MAX((-XNPV(BlendedReqIRR,$C62:FS62,$C58:FS58)*FV(BlendedReqIRR,(FS58-$C58)/365,0,-1)),0)</f>
        <v>0</v>
      </c>
      <c r="FT86" s="254">
        <f ca="1">MAX((-XNPV(BlendedReqIRR,$C62:FT62,$C58:FT58)*FV(BlendedReqIRR,(FT58-$C58)/365,0,-1)),0)</f>
        <v>0</v>
      </c>
      <c r="FU86" s="254">
        <f ca="1">MAX((-XNPV(BlendedReqIRR,$C62:FU62,$C58:FU58)*FV(BlendedReqIRR,(FU58-$C58)/365,0,-1)),0)</f>
        <v>0</v>
      </c>
      <c r="FV86" s="254">
        <f ca="1">MAX((-XNPV(BlendedReqIRR,$C62:FV62,$C58:FV58)*FV(BlendedReqIRR,(FV58-$C58)/365,0,-1)),0)</f>
        <v>0</v>
      </c>
      <c r="FW86" s="254">
        <f ca="1">MAX((-XNPV(BlendedReqIRR,$C62:FW62,$C58:FW58)*FV(BlendedReqIRR,(FW58-$C58)/365,0,-1)),0)</f>
        <v>0</v>
      </c>
      <c r="FX86" s="254">
        <f ca="1">MAX((-XNPV(BlendedReqIRR,$C62:FX62,$C58:FX58)*FV(BlendedReqIRR,(FX58-$C58)/365,0,-1)),0)</f>
        <v>0</v>
      </c>
      <c r="FY86" s="254">
        <f ca="1">MAX((-XNPV(BlendedReqIRR,$C62:FY62,$C58:FY58)*FV(BlendedReqIRR,(FY58-$C58)/365,0,-1)),0)</f>
        <v>0</v>
      </c>
      <c r="FZ86" s="254">
        <f ca="1">MAX((-XNPV(BlendedReqIRR,$C62:FZ62,$C58:FZ58)*FV(BlendedReqIRR,(FZ58-$C58)/365,0,-1)),0)</f>
        <v>0</v>
      </c>
      <c r="GA86" s="254">
        <f ca="1">MAX((-XNPV(BlendedReqIRR,$C62:GA62,$C58:GA58)*FV(BlendedReqIRR,(GA58-$C58)/365,0,-1)),0)</f>
        <v>0</v>
      </c>
    </row>
    <row r="87" spans="1:183" x14ac:dyDescent="0.15">
      <c r="A87" s="55" t="s">
        <v>304</v>
      </c>
      <c r="BK87" s="290"/>
      <c r="BL87" s="290"/>
      <c r="BM87" s="290"/>
      <c r="BN87" s="290"/>
      <c r="BO87" s="290"/>
      <c r="BP87" s="290"/>
      <c r="BQ87" s="290"/>
      <c r="BR87" s="290"/>
      <c r="BS87" s="290"/>
      <c r="BT87" s="290"/>
      <c r="BU87" s="290"/>
      <c r="BV87" s="290"/>
      <c r="BW87" s="290">
        <f ca="1">BW86/$C$2</f>
        <v>0.51889471948464339</v>
      </c>
      <c r="BX87" s="290">
        <f t="shared" ref="BX87:EI87" ca="1" si="76">BX86/$C$2</f>
        <v>0.50682563795137026</v>
      </c>
      <c r="BY87" s="290">
        <f t="shared" ca="1" si="76"/>
        <v>0.494416092371321</v>
      </c>
      <c r="BZ87" s="290">
        <f t="shared" ca="1" si="76"/>
        <v>0.48205471344429479</v>
      </c>
      <c r="CA87" s="290">
        <f t="shared" ca="1" si="76"/>
        <v>0.46954572824724189</v>
      </c>
      <c r="CB87" s="290">
        <f t="shared" ca="1" si="76"/>
        <v>0.45652363274723495</v>
      </c>
      <c r="CC87" s="290">
        <f t="shared" ca="1" si="76"/>
        <v>0.44370978288955792</v>
      </c>
      <c r="CD87" s="290">
        <f t="shared" ca="1" si="76"/>
        <v>0.43057102732273422</v>
      </c>
      <c r="CE87" s="290">
        <f t="shared" ca="1" si="76"/>
        <v>0.41744727941025334</v>
      </c>
      <c r="CF87" s="290">
        <f t="shared" ca="1" si="76"/>
        <v>0.40400509961197378</v>
      </c>
      <c r="CG87" s="290">
        <f t="shared" ca="1" si="76"/>
        <v>0.39056413001068901</v>
      </c>
      <c r="CH87" s="290">
        <f t="shared" ca="1" si="76"/>
        <v>0.37696266283060686</v>
      </c>
      <c r="CI87" s="290">
        <f t="shared" ca="1" si="76"/>
        <v>0.36305274340190158</v>
      </c>
      <c r="CJ87" s="290">
        <f t="shared" ca="1" si="76"/>
        <v>0.34848820669759378</v>
      </c>
      <c r="CK87" s="290">
        <f t="shared" ca="1" si="76"/>
        <v>0.33361474902514782</v>
      </c>
      <c r="CL87" s="290">
        <f t="shared" ca="1" si="76"/>
        <v>0.31869869550603624</v>
      </c>
      <c r="CM87" s="290">
        <f t="shared" ca="1" si="76"/>
        <v>0.30360453054511327</v>
      </c>
      <c r="CN87" s="290">
        <f t="shared" ca="1" si="76"/>
        <v>0.28797740633661206</v>
      </c>
      <c r="CO87" s="290">
        <f t="shared" ca="1" si="76"/>
        <v>0.27251640083698625</v>
      </c>
      <c r="CP87" s="290">
        <f t="shared" ca="1" si="76"/>
        <v>0.25676520175562473</v>
      </c>
      <c r="CQ87" s="290">
        <f t="shared" ca="1" si="76"/>
        <v>0.24093149373432238</v>
      </c>
      <c r="CR87" s="290">
        <f t="shared" ca="1" si="76"/>
        <v>0.22481537795068293</v>
      </c>
      <c r="CS87" s="290">
        <f t="shared" ca="1" si="76"/>
        <v>0.20860015955358122</v>
      </c>
      <c r="CT87" s="290">
        <f t="shared" ca="1" si="76"/>
        <v>0.19219131648730708</v>
      </c>
      <c r="CU87" s="290">
        <f t="shared" ca="1" si="76"/>
        <v>0.17551208032811572</v>
      </c>
      <c r="CV87" s="290">
        <f t="shared" ca="1" si="76"/>
        <v>0.15805155624702846</v>
      </c>
      <c r="CW87" s="290">
        <f t="shared" ca="1" si="76"/>
        <v>0.14032130703212004</v>
      </c>
      <c r="CX87" s="290">
        <f t="shared" ca="1" si="76"/>
        <v>0.12244057264794031</v>
      </c>
      <c r="CY87" s="290">
        <f t="shared" ca="1" si="76"/>
        <v>0.10434632579695867</v>
      </c>
      <c r="CZ87" s="290">
        <f t="shared" ca="1" si="76"/>
        <v>8.5914789702878774E-2</v>
      </c>
      <c r="DA87" s="290">
        <f t="shared" ca="1" si="76"/>
        <v>6.7384391301803737E-2</v>
      </c>
      <c r="DB87" s="290">
        <f t="shared" ca="1" si="76"/>
        <v>4.8606617624367625E-2</v>
      </c>
      <c r="DC87" s="290">
        <f t="shared" ca="1" si="76"/>
        <v>2.96307252250484E-2</v>
      </c>
      <c r="DD87" s="290">
        <f t="shared" ca="1" si="76"/>
        <v>1.0416763995157166E-2</v>
      </c>
      <c r="DE87" s="290">
        <f t="shared" ca="1" si="76"/>
        <v>0</v>
      </c>
      <c r="DF87" s="290">
        <f t="shared" ca="1" si="76"/>
        <v>0</v>
      </c>
      <c r="DG87" s="290">
        <f t="shared" ca="1" si="76"/>
        <v>0</v>
      </c>
      <c r="DH87" s="290">
        <f t="shared" ca="1" si="76"/>
        <v>0</v>
      </c>
      <c r="DI87" s="290">
        <f t="shared" ca="1" si="76"/>
        <v>0</v>
      </c>
      <c r="DJ87" s="290">
        <f t="shared" ca="1" si="76"/>
        <v>0</v>
      </c>
      <c r="DK87" s="290">
        <f t="shared" ca="1" si="76"/>
        <v>0</v>
      </c>
      <c r="DL87" s="290">
        <f t="shared" ca="1" si="76"/>
        <v>0</v>
      </c>
      <c r="DM87" s="290">
        <f t="shared" ca="1" si="76"/>
        <v>0</v>
      </c>
      <c r="DN87" s="290">
        <f t="shared" ca="1" si="76"/>
        <v>0</v>
      </c>
      <c r="DO87" s="290">
        <f t="shared" ca="1" si="76"/>
        <v>0</v>
      </c>
      <c r="DP87" s="290">
        <f t="shared" ca="1" si="76"/>
        <v>0</v>
      </c>
      <c r="DQ87" s="290">
        <f t="shared" ca="1" si="76"/>
        <v>0</v>
      </c>
      <c r="DR87" s="290">
        <f t="shared" ca="1" si="76"/>
        <v>0</v>
      </c>
      <c r="DS87" s="290">
        <f t="shared" ca="1" si="76"/>
        <v>0</v>
      </c>
      <c r="DT87" s="290">
        <f t="shared" ca="1" si="76"/>
        <v>0</v>
      </c>
      <c r="DU87" s="290">
        <f t="shared" ca="1" si="76"/>
        <v>0</v>
      </c>
      <c r="DV87" s="290">
        <f t="shared" ca="1" si="76"/>
        <v>0</v>
      </c>
      <c r="DW87" s="290">
        <f t="shared" ca="1" si="76"/>
        <v>0</v>
      </c>
      <c r="DX87" s="290">
        <f t="shared" ca="1" si="76"/>
        <v>0</v>
      </c>
      <c r="DY87" s="290">
        <f t="shared" ca="1" si="76"/>
        <v>0</v>
      </c>
      <c r="DZ87" s="290">
        <f t="shared" ca="1" si="76"/>
        <v>0</v>
      </c>
      <c r="EA87" s="290">
        <f t="shared" ca="1" si="76"/>
        <v>0</v>
      </c>
      <c r="EB87" s="290">
        <f t="shared" ca="1" si="76"/>
        <v>0</v>
      </c>
      <c r="EC87" s="290">
        <f t="shared" ca="1" si="76"/>
        <v>0</v>
      </c>
      <c r="ED87" s="290">
        <f t="shared" ca="1" si="76"/>
        <v>0</v>
      </c>
      <c r="EE87" s="290">
        <f t="shared" ca="1" si="76"/>
        <v>0</v>
      </c>
      <c r="EF87" s="290">
        <f t="shared" ca="1" si="76"/>
        <v>0</v>
      </c>
      <c r="EG87" s="290">
        <f t="shared" ca="1" si="76"/>
        <v>0</v>
      </c>
      <c r="EH87" s="290">
        <f t="shared" ca="1" si="76"/>
        <v>0</v>
      </c>
      <c r="EI87" s="290">
        <f t="shared" ca="1" si="76"/>
        <v>0</v>
      </c>
      <c r="EJ87" s="290">
        <f t="shared" ref="EJ87:GA87" ca="1" si="77">EJ86/$C$2</f>
        <v>0</v>
      </c>
      <c r="EK87" s="290">
        <f t="shared" ca="1" si="77"/>
        <v>0</v>
      </c>
      <c r="EL87" s="290">
        <f t="shared" ca="1" si="77"/>
        <v>0</v>
      </c>
      <c r="EM87" s="290">
        <f t="shared" ca="1" si="77"/>
        <v>0</v>
      </c>
      <c r="EN87" s="290">
        <f t="shared" ca="1" si="77"/>
        <v>0</v>
      </c>
      <c r="EO87" s="290">
        <f t="shared" ca="1" si="77"/>
        <v>0</v>
      </c>
      <c r="EP87" s="290">
        <f t="shared" ca="1" si="77"/>
        <v>0</v>
      </c>
      <c r="EQ87" s="290">
        <f t="shared" ca="1" si="77"/>
        <v>0</v>
      </c>
      <c r="ER87" s="290">
        <f t="shared" ca="1" si="77"/>
        <v>0</v>
      </c>
      <c r="ES87" s="290">
        <f t="shared" ca="1" si="77"/>
        <v>0</v>
      </c>
      <c r="ET87" s="290">
        <f t="shared" ca="1" si="77"/>
        <v>0</v>
      </c>
      <c r="EU87" s="290">
        <f t="shared" ca="1" si="77"/>
        <v>0</v>
      </c>
      <c r="EV87" s="290">
        <f t="shared" ca="1" si="77"/>
        <v>0</v>
      </c>
      <c r="EW87" s="290">
        <f t="shared" ca="1" si="77"/>
        <v>0</v>
      </c>
      <c r="EX87" s="290">
        <f t="shared" ca="1" si="77"/>
        <v>0</v>
      </c>
      <c r="EY87" s="290">
        <f t="shared" ca="1" si="77"/>
        <v>0</v>
      </c>
      <c r="EZ87" s="290">
        <f t="shared" ca="1" si="77"/>
        <v>0</v>
      </c>
      <c r="FA87" s="290">
        <f t="shared" ca="1" si="77"/>
        <v>0</v>
      </c>
      <c r="FB87" s="290">
        <f t="shared" ca="1" si="77"/>
        <v>0</v>
      </c>
      <c r="FC87" s="290">
        <f t="shared" ca="1" si="77"/>
        <v>0</v>
      </c>
      <c r="FD87" s="290">
        <f t="shared" ca="1" si="77"/>
        <v>0</v>
      </c>
      <c r="FE87" s="290">
        <f t="shared" ca="1" si="77"/>
        <v>0</v>
      </c>
      <c r="FF87" s="290">
        <f t="shared" ca="1" si="77"/>
        <v>0</v>
      </c>
      <c r="FG87" s="290">
        <f t="shared" ca="1" si="77"/>
        <v>0</v>
      </c>
      <c r="FH87" s="290">
        <f t="shared" ca="1" si="77"/>
        <v>0</v>
      </c>
      <c r="FI87" s="290">
        <f t="shared" ca="1" si="77"/>
        <v>0</v>
      </c>
      <c r="FJ87" s="290">
        <f t="shared" ca="1" si="77"/>
        <v>0</v>
      </c>
      <c r="FK87" s="290">
        <f t="shared" ca="1" si="77"/>
        <v>0</v>
      </c>
      <c r="FL87" s="290">
        <f t="shared" ca="1" si="77"/>
        <v>0</v>
      </c>
      <c r="FM87" s="290">
        <f t="shared" ca="1" si="77"/>
        <v>0</v>
      </c>
      <c r="FN87" s="290">
        <f t="shared" ca="1" si="77"/>
        <v>0</v>
      </c>
      <c r="FO87" s="290">
        <f t="shared" ca="1" si="77"/>
        <v>0</v>
      </c>
      <c r="FP87" s="290">
        <f t="shared" ca="1" si="77"/>
        <v>0</v>
      </c>
      <c r="FQ87" s="290">
        <f t="shared" ca="1" si="77"/>
        <v>0</v>
      </c>
      <c r="FR87" s="290">
        <f t="shared" ca="1" si="77"/>
        <v>0</v>
      </c>
      <c r="FS87" s="290">
        <f t="shared" ca="1" si="77"/>
        <v>0</v>
      </c>
      <c r="FT87" s="290">
        <f t="shared" ca="1" si="77"/>
        <v>0</v>
      </c>
      <c r="FU87" s="290">
        <f t="shared" ca="1" si="77"/>
        <v>0</v>
      </c>
      <c r="FV87" s="290">
        <f t="shared" ca="1" si="77"/>
        <v>0</v>
      </c>
      <c r="FW87" s="290">
        <f t="shared" ca="1" si="77"/>
        <v>0</v>
      </c>
      <c r="FX87" s="290">
        <f t="shared" ca="1" si="77"/>
        <v>0</v>
      </c>
      <c r="FY87" s="290">
        <f t="shared" ca="1" si="77"/>
        <v>0</v>
      </c>
      <c r="FZ87" s="290">
        <f t="shared" ca="1" si="77"/>
        <v>0</v>
      </c>
      <c r="GA87" s="290">
        <f t="shared" ca="1" si="77"/>
        <v>0</v>
      </c>
    </row>
    <row r="88" spans="1:183" x14ac:dyDescent="0.15">
      <c r="A88" s="55" t="s">
        <v>1015</v>
      </c>
      <c r="BK88" s="254"/>
      <c r="BL88" s="254"/>
      <c r="BM88" s="254"/>
      <c r="BN88" s="254"/>
      <c r="BO88" s="254"/>
      <c r="BP88" s="254"/>
      <c r="BQ88" s="254"/>
      <c r="BR88" s="254"/>
      <c r="BS88" s="254"/>
      <c r="BT88" s="254"/>
      <c r="BU88" s="254"/>
      <c r="BV88" s="254"/>
      <c r="BW88" s="254">
        <f t="shared" ref="BW88:DB88" si="78">IF(BW57=BX57,"",-SUMIF($D$36:$R$36,"&gt;"&amp;BW$57,$D$40:$R$40)-$C19)</f>
        <v>39589.98364888638</v>
      </c>
      <c r="BX88" s="254" t="str">
        <f t="shared" si="78"/>
        <v/>
      </c>
      <c r="BY88" s="254" t="str">
        <f t="shared" si="78"/>
        <v/>
      </c>
      <c r="BZ88" s="254" t="str">
        <f t="shared" si="78"/>
        <v/>
      </c>
      <c r="CA88" s="254" t="str">
        <f t="shared" si="78"/>
        <v/>
      </c>
      <c r="CB88" s="254" t="str">
        <f t="shared" si="78"/>
        <v/>
      </c>
      <c r="CC88" s="254" t="str">
        <f t="shared" si="78"/>
        <v/>
      </c>
      <c r="CD88" s="254" t="str">
        <f t="shared" si="78"/>
        <v/>
      </c>
      <c r="CE88" s="254" t="str">
        <f t="shared" si="78"/>
        <v/>
      </c>
      <c r="CF88" s="254" t="str">
        <f t="shared" si="78"/>
        <v/>
      </c>
      <c r="CG88" s="254" t="str">
        <f t="shared" si="78"/>
        <v/>
      </c>
      <c r="CH88" s="254" t="str">
        <f t="shared" si="78"/>
        <v/>
      </c>
      <c r="CI88" s="254">
        <f t="shared" si="78"/>
        <v>38109.560397246059</v>
      </c>
      <c r="CJ88" s="254" t="str">
        <f t="shared" si="78"/>
        <v/>
      </c>
      <c r="CK88" s="254" t="str">
        <f t="shared" si="78"/>
        <v/>
      </c>
      <c r="CL88" s="254" t="str">
        <f t="shared" si="78"/>
        <v/>
      </c>
      <c r="CM88" s="254" t="str">
        <f t="shared" si="78"/>
        <v/>
      </c>
      <c r="CN88" s="254" t="str">
        <f t="shared" si="78"/>
        <v/>
      </c>
      <c r="CO88" s="254" t="str">
        <f t="shared" si="78"/>
        <v/>
      </c>
      <c r="CP88" s="254" t="str">
        <f t="shared" si="78"/>
        <v/>
      </c>
      <c r="CQ88" s="254" t="str">
        <f t="shared" si="78"/>
        <v/>
      </c>
      <c r="CR88" s="254" t="str">
        <f t="shared" si="78"/>
        <v/>
      </c>
      <c r="CS88" s="254" t="str">
        <f t="shared" si="78"/>
        <v/>
      </c>
      <c r="CT88" s="254" t="str">
        <f t="shared" si="78"/>
        <v/>
      </c>
      <c r="CU88" s="254">
        <f t="shared" si="78"/>
        <v>36569.920215540129</v>
      </c>
      <c r="CV88" s="254" t="str">
        <f t="shared" si="78"/>
        <v/>
      </c>
      <c r="CW88" s="254" t="str">
        <f t="shared" si="78"/>
        <v/>
      </c>
      <c r="CX88" s="254" t="str">
        <f t="shared" si="78"/>
        <v/>
      </c>
      <c r="CY88" s="254" t="str">
        <f t="shared" si="78"/>
        <v/>
      </c>
      <c r="CZ88" s="254" t="str">
        <f t="shared" si="78"/>
        <v/>
      </c>
      <c r="DA88" s="254" t="str">
        <f t="shared" si="78"/>
        <v/>
      </c>
      <c r="DB88" s="254" t="str">
        <f t="shared" si="78"/>
        <v/>
      </c>
      <c r="DC88" s="254" t="str">
        <f t="shared" ref="DC88:EH88" si="79">IF(DC57=DD57,"",-SUMIF($D$36:$R$36,"&gt;"&amp;DC$57,$D$40:$R$40)-$C19)</f>
        <v/>
      </c>
      <c r="DD88" s="254" t="str">
        <f t="shared" si="79"/>
        <v/>
      </c>
      <c r="DE88" s="254" t="str">
        <f t="shared" si="79"/>
        <v/>
      </c>
      <c r="DF88" s="254" t="str">
        <f t="shared" si="79"/>
        <v/>
      </c>
      <c r="DG88" s="254">
        <f t="shared" si="79"/>
        <v>34968.694426565955</v>
      </c>
      <c r="DH88" s="254" t="str">
        <f t="shared" si="79"/>
        <v/>
      </c>
      <c r="DI88" s="254" t="str">
        <f t="shared" si="79"/>
        <v/>
      </c>
      <c r="DJ88" s="254" t="str">
        <f t="shared" si="79"/>
        <v/>
      </c>
      <c r="DK88" s="254" t="str">
        <f t="shared" si="79"/>
        <v/>
      </c>
      <c r="DL88" s="254" t="str">
        <f t="shared" si="79"/>
        <v/>
      </c>
      <c r="DM88" s="254" t="str">
        <f t="shared" si="79"/>
        <v/>
      </c>
      <c r="DN88" s="254" t="str">
        <f t="shared" si="79"/>
        <v/>
      </c>
      <c r="DO88" s="254" t="str">
        <f t="shared" si="79"/>
        <v/>
      </c>
      <c r="DP88" s="254" t="str">
        <f t="shared" si="79"/>
        <v/>
      </c>
      <c r="DQ88" s="254" t="str">
        <f t="shared" si="79"/>
        <v/>
      </c>
      <c r="DR88" s="254" t="str">
        <f t="shared" si="79"/>
        <v/>
      </c>
      <c r="DS88" s="254">
        <f t="shared" si="79"/>
        <v>33303.419606032818</v>
      </c>
      <c r="DT88" s="254" t="str">
        <f t="shared" si="79"/>
        <v/>
      </c>
      <c r="DU88" s="254" t="str">
        <f t="shared" si="79"/>
        <v/>
      </c>
      <c r="DV88" s="254" t="str">
        <f t="shared" si="79"/>
        <v/>
      </c>
      <c r="DW88" s="254" t="str">
        <f t="shared" si="79"/>
        <v/>
      </c>
      <c r="DX88" s="254" t="str">
        <f t="shared" si="79"/>
        <v/>
      </c>
      <c r="DY88" s="254" t="str">
        <f t="shared" si="79"/>
        <v/>
      </c>
      <c r="DZ88" s="254" t="str">
        <f t="shared" si="79"/>
        <v/>
      </c>
      <c r="EA88" s="254" t="str">
        <f t="shared" si="79"/>
        <v/>
      </c>
      <c r="EB88" s="254" t="str">
        <f t="shared" si="79"/>
        <v/>
      </c>
      <c r="EC88" s="254" t="str">
        <f t="shared" si="79"/>
        <v/>
      </c>
      <c r="ED88" s="254" t="str">
        <f t="shared" si="79"/>
        <v/>
      </c>
      <c r="EE88" s="254">
        <f t="shared" si="79"/>
        <v>31571.533792678354</v>
      </c>
      <c r="EF88" s="254" t="str">
        <f t="shared" si="79"/>
        <v/>
      </c>
      <c r="EG88" s="254" t="str">
        <f t="shared" si="79"/>
        <v/>
      </c>
      <c r="EH88" s="254" t="str">
        <f t="shared" si="79"/>
        <v/>
      </c>
      <c r="EI88" s="254" t="str">
        <f t="shared" ref="EI88:FN88" si="80">IF(EI57=EJ57,"",-SUMIF($D$36:$R$36,"&gt;"&amp;EI$57,$D$40:$R$40)-$C19)</f>
        <v/>
      </c>
      <c r="EJ88" s="254" t="str">
        <f t="shared" si="80"/>
        <v/>
      </c>
      <c r="EK88" s="254" t="str">
        <f t="shared" si="80"/>
        <v/>
      </c>
      <c r="EL88" s="254" t="str">
        <f t="shared" si="80"/>
        <v/>
      </c>
      <c r="EM88" s="254" t="str">
        <f t="shared" si="80"/>
        <v/>
      </c>
      <c r="EN88" s="254" t="str">
        <f t="shared" si="80"/>
        <v/>
      </c>
      <c r="EO88" s="254" t="str">
        <f t="shared" si="80"/>
        <v/>
      </c>
      <c r="EP88" s="254" t="str">
        <f t="shared" si="80"/>
        <v/>
      </c>
      <c r="EQ88" s="254">
        <f t="shared" si="80"/>
        <v>5847.4051429726223</v>
      </c>
      <c r="ER88" s="254" t="str">
        <f t="shared" si="80"/>
        <v/>
      </c>
      <c r="ES88" s="254" t="str">
        <f t="shared" si="80"/>
        <v/>
      </c>
      <c r="ET88" s="254" t="str">
        <f t="shared" si="80"/>
        <v/>
      </c>
      <c r="EU88" s="254" t="str">
        <f t="shared" si="80"/>
        <v/>
      </c>
      <c r="EV88" s="254" t="str">
        <f t="shared" si="80"/>
        <v/>
      </c>
      <c r="EW88" s="254" t="str">
        <f t="shared" si="80"/>
        <v/>
      </c>
      <c r="EX88" s="254" t="str">
        <f t="shared" si="80"/>
        <v/>
      </c>
      <c r="EY88" s="254" t="str">
        <f t="shared" si="80"/>
        <v/>
      </c>
      <c r="EZ88" s="254" t="str">
        <f t="shared" si="80"/>
        <v/>
      </c>
      <c r="FA88" s="254" t="str">
        <f t="shared" si="80"/>
        <v/>
      </c>
      <c r="FB88" s="254" t="str">
        <f t="shared" si="80"/>
        <v/>
      </c>
      <c r="FC88" s="254">
        <f t="shared" si="80"/>
        <v>3974.1974472484353</v>
      </c>
      <c r="FD88" s="254" t="str">
        <f t="shared" si="80"/>
        <v/>
      </c>
      <c r="FE88" s="254" t="str">
        <f t="shared" si="80"/>
        <v/>
      </c>
      <c r="FF88" s="254" t="str">
        <f t="shared" si="80"/>
        <v/>
      </c>
      <c r="FG88" s="254" t="str">
        <f t="shared" si="80"/>
        <v/>
      </c>
      <c r="FH88" s="254" t="str">
        <f t="shared" si="80"/>
        <v/>
      </c>
      <c r="FI88" s="254" t="str">
        <f t="shared" si="80"/>
        <v/>
      </c>
      <c r="FJ88" s="254" t="str">
        <f t="shared" si="80"/>
        <v/>
      </c>
      <c r="FK88" s="254" t="str">
        <f t="shared" si="80"/>
        <v/>
      </c>
      <c r="FL88" s="254" t="str">
        <f t="shared" si="80"/>
        <v/>
      </c>
      <c r="FM88" s="254" t="str">
        <f t="shared" si="80"/>
        <v/>
      </c>
      <c r="FN88" s="254" t="str">
        <f t="shared" si="80"/>
        <v/>
      </c>
      <c r="FO88" s="254">
        <f t="shared" ref="FO88:GA88" si="81">IF(FO57=FP57,"",-SUMIF($D$36:$R$36,"&gt;"&amp;FO$57,$D$40:$R$40)-$C19)</f>
        <v>2026.0614436952808</v>
      </c>
      <c r="FP88" s="254" t="str">
        <f t="shared" si="81"/>
        <v/>
      </c>
      <c r="FQ88" s="254" t="str">
        <f t="shared" si="81"/>
        <v/>
      </c>
      <c r="FR88" s="254" t="str">
        <f t="shared" si="81"/>
        <v/>
      </c>
      <c r="FS88" s="254" t="str">
        <f t="shared" si="81"/>
        <v/>
      </c>
      <c r="FT88" s="254" t="str">
        <f t="shared" si="81"/>
        <v/>
      </c>
      <c r="FU88" s="254" t="str">
        <f t="shared" si="81"/>
        <v/>
      </c>
      <c r="FV88" s="254" t="str">
        <f t="shared" si="81"/>
        <v/>
      </c>
      <c r="FW88" s="254" t="str">
        <f t="shared" si="81"/>
        <v/>
      </c>
      <c r="FX88" s="254" t="str">
        <f t="shared" si="81"/>
        <v/>
      </c>
      <c r="FY88" s="254" t="str">
        <f t="shared" si="81"/>
        <v/>
      </c>
      <c r="FZ88" s="254" t="str">
        <f t="shared" si="81"/>
        <v/>
      </c>
      <c r="GA88" s="254">
        <f t="shared" si="81"/>
        <v>0</v>
      </c>
    </row>
    <row r="90" spans="1:183" x14ac:dyDescent="0.15">
      <c r="A90" s="55" t="s">
        <v>604</v>
      </c>
      <c r="P90" s="385">
        <f>$C$17/12</f>
        <v>528.95999999999992</v>
      </c>
      <c r="Q90" s="385">
        <f t="shared" ref="Q90:AA90" si="82">$C$17/12</f>
        <v>528.95999999999992</v>
      </c>
      <c r="R90" s="385">
        <f t="shared" si="82"/>
        <v>528.95999999999992</v>
      </c>
      <c r="S90" s="385">
        <f t="shared" si="82"/>
        <v>528.95999999999992</v>
      </c>
      <c r="T90" s="385">
        <f t="shared" si="82"/>
        <v>528.95999999999992</v>
      </c>
      <c r="U90" s="385">
        <f t="shared" si="82"/>
        <v>528.95999999999992</v>
      </c>
      <c r="V90" s="385">
        <f t="shared" si="82"/>
        <v>528.95999999999992</v>
      </c>
      <c r="W90" s="385">
        <f t="shared" si="82"/>
        <v>528.95999999999992</v>
      </c>
      <c r="X90" s="385">
        <f t="shared" si="82"/>
        <v>528.95999999999992</v>
      </c>
      <c r="Y90" s="385">
        <f t="shared" si="82"/>
        <v>528.95999999999992</v>
      </c>
      <c r="Z90" s="385">
        <f t="shared" si="82"/>
        <v>528.95999999999992</v>
      </c>
      <c r="AA90" s="385">
        <f t="shared" si="82"/>
        <v>528.95999999999992</v>
      </c>
      <c r="BK90" s="254"/>
      <c r="BL90" s="254"/>
      <c r="BM90" s="254"/>
      <c r="BN90" s="254"/>
      <c r="BO90" s="254"/>
      <c r="BP90" s="254"/>
      <c r="BQ90" s="254"/>
      <c r="BR90" s="254"/>
      <c r="BS90" s="254"/>
      <c r="BT90" s="254"/>
      <c r="BU90" s="254"/>
      <c r="BV90" s="254"/>
      <c r="BW90" s="254"/>
      <c r="BX90" s="254"/>
      <c r="BY90" s="254"/>
      <c r="BZ90" s="254"/>
      <c r="CA90" s="254"/>
      <c r="CB90" s="254"/>
      <c r="CC90" s="254"/>
      <c r="CD90" s="254"/>
      <c r="CE90" s="254"/>
      <c r="CF90" s="254"/>
      <c r="CG90" s="254"/>
      <c r="CH90" s="254"/>
      <c r="CI90" s="254"/>
      <c r="CJ90" s="254"/>
      <c r="CK90" s="254"/>
      <c r="CL90" s="254"/>
      <c r="CM90" s="254"/>
      <c r="CN90" s="254"/>
      <c r="CO90" s="254"/>
      <c r="CP90" s="254"/>
      <c r="CQ90" s="254"/>
      <c r="CR90" s="254"/>
      <c r="CS90" s="254"/>
      <c r="CT90" s="254"/>
      <c r="CU90" s="254"/>
      <c r="CV90" s="254"/>
      <c r="CW90" s="254"/>
      <c r="CX90" s="254"/>
      <c r="CY90" s="254"/>
      <c r="CZ90" s="254"/>
      <c r="DA90" s="254"/>
      <c r="DB90" s="254"/>
      <c r="DC90" s="254"/>
      <c r="DD90" s="254"/>
      <c r="DE90" s="254"/>
      <c r="DF90" s="254"/>
      <c r="DG90" s="254"/>
      <c r="DH90" s="254"/>
      <c r="DI90" s="254"/>
      <c r="DJ90" s="254"/>
      <c r="DK90" s="254"/>
      <c r="DL90" s="254"/>
      <c r="DM90" s="254"/>
      <c r="DN90" s="254"/>
      <c r="DO90" s="254"/>
      <c r="DP90" s="254"/>
      <c r="DQ90" s="254"/>
      <c r="DR90" s="254"/>
      <c r="DS90" s="254"/>
      <c r="DT90" s="254"/>
      <c r="DU90" s="254"/>
      <c r="DV90" s="254"/>
      <c r="DW90" s="254"/>
      <c r="DX90" s="254"/>
      <c r="DY90" s="254"/>
      <c r="DZ90" s="254"/>
      <c r="EA90" s="254"/>
      <c r="EB90" s="254"/>
      <c r="EC90" s="254"/>
      <c r="ED90" s="254"/>
      <c r="EE90" s="254"/>
      <c r="EF90" s="254"/>
      <c r="EG90" s="254"/>
      <c r="EH90" s="254"/>
      <c r="EI90" s="254"/>
      <c r="EJ90" s="254"/>
      <c r="EK90" s="254"/>
      <c r="EL90" s="254"/>
      <c r="EM90" s="254"/>
      <c r="EN90" s="254"/>
      <c r="EO90" s="254"/>
      <c r="EP90" s="254"/>
      <c r="EQ90" s="254"/>
      <c r="ER90" s="254"/>
      <c r="ES90" s="254"/>
      <c r="ET90" s="254"/>
      <c r="EU90" s="254"/>
      <c r="EV90" s="254"/>
      <c r="EW90" s="254"/>
      <c r="EX90" s="254"/>
      <c r="EY90" s="254"/>
      <c r="EZ90" s="254"/>
      <c r="FA90" s="254"/>
      <c r="FB90" s="254"/>
      <c r="FC90" s="254"/>
      <c r="FD90" s="254"/>
      <c r="FE90" s="254"/>
      <c r="FF90" s="254"/>
      <c r="FG90" s="254"/>
      <c r="FH90" s="254"/>
      <c r="FI90" s="254"/>
      <c r="FJ90" s="254"/>
      <c r="FK90" s="254"/>
      <c r="FL90" s="254"/>
      <c r="FM90" s="254"/>
      <c r="FN90" s="254"/>
      <c r="FO90" s="254"/>
      <c r="FP90" s="254"/>
      <c r="FQ90" s="254"/>
      <c r="FR90" s="254"/>
      <c r="FS90" s="254"/>
      <c r="FT90" s="254"/>
      <c r="FU90" s="254"/>
      <c r="FV90" s="254"/>
      <c r="FW90" s="254"/>
      <c r="FX90" s="254"/>
      <c r="FY90" s="254"/>
      <c r="FZ90" s="254"/>
      <c r="GA90" s="254"/>
    </row>
  </sheetData>
  <sheetProtection selectLockedCells="1" selectUnlockedCells="1"/>
  <pageMargins left="0.74791666666666667" right="0.74791666666666667" top="0.98402777777777772" bottom="0.98402777777777772" header="0.51180555555555551" footer="0.51180555555555551"/>
  <pageSetup firstPageNumber="0" orientation="landscape" horizontalDpi="300" verticalDpi="30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B2:U56"/>
  <sheetViews>
    <sheetView workbookViewId="0">
      <pane ySplit="6" topLeftCell="A7" activePane="bottomLeft" state="frozen"/>
      <selection pane="bottomLeft" activeCell="A7" sqref="A7"/>
    </sheetView>
  </sheetViews>
  <sheetFormatPr defaultColWidth="14.42578125" defaultRowHeight="15" customHeight="1" x14ac:dyDescent="0.15"/>
  <cols>
    <col min="1" max="1" width="11.28515625" style="559" customWidth="1"/>
    <col min="2" max="2" width="41.140625" style="559" customWidth="1"/>
    <col min="3" max="3" width="15" style="559" bestFit="1" customWidth="1"/>
    <col min="4" max="4" width="14.42578125" style="559"/>
    <col min="5" max="5" width="28.85546875" style="559" customWidth="1"/>
    <col min="6" max="21" width="14.5703125" style="559" bestFit="1" customWidth="1"/>
    <col min="22" max="16384" width="14.42578125" style="559"/>
  </cols>
  <sheetData>
    <row r="2" spans="2:21" ht="10.5" x14ac:dyDescent="0.15">
      <c r="B2" s="558" t="s">
        <v>1034</v>
      </c>
    </row>
    <row r="6" spans="2:21" ht="10.5" x14ac:dyDescent="0.15">
      <c r="B6" s="560" t="s">
        <v>1035</v>
      </c>
      <c r="C6" s="561"/>
      <c r="E6" s="562" t="s">
        <v>18</v>
      </c>
      <c r="F6" s="562">
        <v>0</v>
      </c>
      <c r="G6" s="562">
        <v>1</v>
      </c>
      <c r="H6" s="562">
        <v>2</v>
      </c>
      <c r="I6" s="562">
        <v>3</v>
      </c>
      <c r="J6" s="562">
        <v>4</v>
      </c>
      <c r="K6" s="562">
        <v>5</v>
      </c>
      <c r="L6" s="562">
        <v>6</v>
      </c>
      <c r="M6" s="562">
        <v>7</v>
      </c>
      <c r="N6" s="562">
        <v>8</v>
      </c>
      <c r="O6" s="562">
        <v>9</v>
      </c>
      <c r="P6" s="562">
        <v>10</v>
      </c>
      <c r="Q6" s="562">
        <v>11</v>
      </c>
      <c r="R6" s="562">
        <v>12</v>
      </c>
      <c r="S6" s="562">
        <v>13</v>
      </c>
      <c r="T6" s="562">
        <v>14</v>
      </c>
      <c r="U6" s="562">
        <v>15</v>
      </c>
    </row>
    <row r="7" spans="2:21" ht="10.5" x14ac:dyDescent="0.15">
      <c r="B7" s="563" t="s">
        <v>1036</v>
      </c>
      <c r="C7" s="564">
        <f>MXNperUSD</f>
        <v>18</v>
      </c>
      <c r="E7" s="565" t="s">
        <v>1037</v>
      </c>
      <c r="F7" s="566"/>
      <c r="G7" s="566"/>
      <c r="H7" s="566"/>
      <c r="I7" s="566"/>
      <c r="J7" s="566"/>
      <c r="K7" s="566"/>
      <c r="L7" s="566"/>
      <c r="M7" s="566"/>
      <c r="N7" s="566"/>
      <c r="O7" s="566"/>
      <c r="P7" s="566"/>
      <c r="Q7" s="566"/>
      <c r="R7" s="566"/>
      <c r="S7" s="566"/>
      <c r="T7" s="566"/>
      <c r="U7" s="566"/>
    </row>
    <row r="8" spans="2:21" ht="10.5" x14ac:dyDescent="0.15">
      <c r="B8" s="563" t="s">
        <v>1038</v>
      </c>
      <c r="C8" s="567">
        <v>0.16</v>
      </c>
      <c r="E8" s="568" t="s">
        <v>1039</v>
      </c>
      <c r="F8" s="569">
        <f>C14</f>
        <v>7.0000000000000001E-3</v>
      </c>
      <c r="G8" s="570">
        <f>(1)</f>
        <v>1</v>
      </c>
      <c r="H8" s="570">
        <f t="shared" ref="H8:U8" si="0">G8*(1-$F$8)</f>
        <v>0.99299999999999999</v>
      </c>
      <c r="I8" s="570">
        <f t="shared" si="0"/>
        <v>0.98604899999999995</v>
      </c>
      <c r="J8" s="570">
        <f t="shared" si="0"/>
        <v>0.97914665699999992</v>
      </c>
      <c r="K8" s="570">
        <f t="shared" si="0"/>
        <v>0.97229263040099989</v>
      </c>
      <c r="L8" s="570">
        <f t="shared" si="0"/>
        <v>0.96548658198819293</v>
      </c>
      <c r="M8" s="570">
        <f t="shared" si="0"/>
        <v>0.95872817591427562</v>
      </c>
      <c r="N8" s="570">
        <f t="shared" si="0"/>
        <v>0.95201707868287566</v>
      </c>
      <c r="O8" s="570">
        <f t="shared" si="0"/>
        <v>0.94535295913209549</v>
      </c>
      <c r="P8" s="570">
        <f t="shared" si="0"/>
        <v>0.93873548841817078</v>
      </c>
      <c r="Q8" s="570">
        <f t="shared" si="0"/>
        <v>0.93216433999924353</v>
      </c>
      <c r="R8" s="570">
        <f t="shared" si="0"/>
        <v>0.92563918961924885</v>
      </c>
      <c r="S8" s="570">
        <f t="shared" si="0"/>
        <v>0.91915971529191409</v>
      </c>
      <c r="T8" s="570">
        <f t="shared" si="0"/>
        <v>0.91272559728487068</v>
      </c>
      <c r="U8" s="570">
        <f t="shared" si="0"/>
        <v>0.90633651810387661</v>
      </c>
    </row>
    <row r="9" spans="2:21" ht="10.5" x14ac:dyDescent="0.15">
      <c r="B9" s="563" t="s">
        <v>1040</v>
      </c>
      <c r="C9" s="567">
        <f>InflationRate</f>
        <v>0.04</v>
      </c>
      <c r="E9" s="568" t="s">
        <v>1041</v>
      </c>
      <c r="F9" s="559">
        <f>$C$11</f>
        <v>1765.5406449957693</v>
      </c>
      <c r="G9" s="571">
        <f t="shared" ref="G9:U9" si="1">$F$9*G8</f>
        <v>1765.5406449957693</v>
      </c>
      <c r="H9" s="571">
        <f t="shared" si="1"/>
        <v>1753.1818604807988</v>
      </c>
      <c r="I9" s="571">
        <f t="shared" si="1"/>
        <v>1740.9095874574332</v>
      </c>
      <c r="J9" s="571">
        <f t="shared" si="1"/>
        <v>1728.7232203452311</v>
      </c>
      <c r="K9" s="571">
        <f t="shared" si="1"/>
        <v>1716.6221578028144</v>
      </c>
      <c r="L9" s="572">
        <f t="shared" si="1"/>
        <v>1704.6058026981948</v>
      </c>
      <c r="M9" s="572">
        <f t="shared" si="1"/>
        <v>1692.6735620793074</v>
      </c>
      <c r="N9" s="572">
        <f t="shared" si="1"/>
        <v>1680.8248471447523</v>
      </c>
      <c r="O9" s="572">
        <f t="shared" si="1"/>
        <v>1669.0590732147391</v>
      </c>
      <c r="P9" s="572">
        <f t="shared" si="1"/>
        <v>1657.3756597022357</v>
      </c>
      <c r="Q9" s="572">
        <f t="shared" si="1"/>
        <v>1645.77403008432</v>
      </c>
      <c r="R9" s="572">
        <f t="shared" si="1"/>
        <v>1634.2536118737298</v>
      </c>
      <c r="S9" s="572">
        <f t="shared" si="1"/>
        <v>1622.8138365906136</v>
      </c>
      <c r="T9" s="572">
        <f t="shared" si="1"/>
        <v>1611.4541397344794</v>
      </c>
      <c r="U9" s="572">
        <f t="shared" si="1"/>
        <v>1600.1739607563381</v>
      </c>
    </row>
    <row r="10" spans="2:21" ht="10.5" x14ac:dyDescent="0.15">
      <c r="B10" s="563" t="s">
        <v>1042</v>
      </c>
      <c r="C10" s="564">
        <f>Sys_SizeWatts/1000</f>
        <v>3.25</v>
      </c>
      <c r="E10" s="568" t="s">
        <v>1043</v>
      </c>
      <c r="G10" s="573">
        <f t="shared" ref="G10:U10" si="2">IF(G6&lt;=$C$12,(1-$C$15),(1-$C$16))</f>
        <v>0.99</v>
      </c>
      <c r="H10" s="570">
        <f t="shared" si="2"/>
        <v>0.99</v>
      </c>
      <c r="I10" s="570">
        <f t="shared" si="2"/>
        <v>0.99</v>
      </c>
      <c r="J10" s="570">
        <f t="shared" si="2"/>
        <v>0.99</v>
      </c>
      <c r="K10" s="570">
        <f t="shared" si="2"/>
        <v>0.99</v>
      </c>
      <c r="L10" s="570">
        <f t="shared" si="2"/>
        <v>0.97</v>
      </c>
      <c r="M10" s="570">
        <f t="shared" si="2"/>
        <v>0.97</v>
      </c>
      <c r="N10" s="570">
        <f t="shared" si="2"/>
        <v>0.97</v>
      </c>
      <c r="O10" s="570">
        <f t="shared" si="2"/>
        <v>0.97</v>
      </c>
      <c r="P10" s="570">
        <f t="shared" si="2"/>
        <v>0.97</v>
      </c>
      <c r="Q10" s="570">
        <f t="shared" si="2"/>
        <v>0.97</v>
      </c>
      <c r="R10" s="570">
        <f t="shared" si="2"/>
        <v>0.97</v>
      </c>
      <c r="S10" s="570">
        <f t="shared" si="2"/>
        <v>0.97</v>
      </c>
      <c r="T10" s="570">
        <f t="shared" si="2"/>
        <v>0.97</v>
      </c>
      <c r="U10" s="570">
        <f t="shared" si="2"/>
        <v>0.97</v>
      </c>
    </row>
    <row r="11" spans="2:21" ht="10.5" x14ac:dyDescent="0.15">
      <c r="B11" s="563" t="s">
        <v>1044</v>
      </c>
      <c r="C11" s="620">
        <f>Sys_Factor</f>
        <v>1765.5406449957693</v>
      </c>
      <c r="E11" s="568" t="s">
        <v>1045</v>
      </c>
      <c r="F11" s="559">
        <f>C10*C11</f>
        <v>5738.0070962362506</v>
      </c>
      <c r="G11" s="572">
        <f t="shared" ref="G11:U11" si="3">G9*G10</f>
        <v>1747.8852385458115</v>
      </c>
      <c r="H11" s="572">
        <f t="shared" si="3"/>
        <v>1735.6500418759908</v>
      </c>
      <c r="I11" s="572">
        <f t="shared" si="3"/>
        <v>1723.5004915828588</v>
      </c>
      <c r="J11" s="572">
        <f t="shared" si="3"/>
        <v>1711.4359881417788</v>
      </c>
      <c r="K11" s="572">
        <f t="shared" si="3"/>
        <v>1699.4559362247862</v>
      </c>
      <c r="L11" s="572">
        <f t="shared" si="3"/>
        <v>1653.4676286172489</v>
      </c>
      <c r="M11" s="572">
        <f t="shared" si="3"/>
        <v>1641.8933552169281</v>
      </c>
      <c r="N11" s="572">
        <f t="shared" si="3"/>
        <v>1630.4001017304097</v>
      </c>
      <c r="O11" s="572">
        <f t="shared" si="3"/>
        <v>1618.9873010182969</v>
      </c>
      <c r="P11" s="572">
        <f t="shared" si="3"/>
        <v>1607.6543899111687</v>
      </c>
      <c r="Q11" s="572">
        <f t="shared" si="3"/>
        <v>1596.4008091817902</v>
      </c>
      <c r="R11" s="572">
        <f t="shared" si="3"/>
        <v>1585.2260035175179</v>
      </c>
      <c r="S11" s="572">
        <f t="shared" si="3"/>
        <v>1574.1294214928951</v>
      </c>
      <c r="T11" s="572">
        <f t="shared" si="3"/>
        <v>1563.110515542445</v>
      </c>
      <c r="U11" s="572">
        <f t="shared" si="3"/>
        <v>1552.1687419336479</v>
      </c>
    </row>
    <row r="12" spans="2:21" ht="10.5" x14ac:dyDescent="0.15">
      <c r="B12" s="563" t="s">
        <v>1046</v>
      </c>
      <c r="C12" s="574">
        <f>5</f>
        <v>5</v>
      </c>
      <c r="E12" s="575"/>
    </row>
    <row r="13" spans="2:21" ht="10.5" x14ac:dyDescent="0.15">
      <c r="C13" s="576"/>
      <c r="E13" s="568" t="s">
        <v>1047</v>
      </c>
      <c r="F13" s="570">
        <f>C9</f>
        <v>0.04</v>
      </c>
      <c r="G13" s="570">
        <f t="shared" ref="G13:G16" si="4">100%</f>
        <v>1</v>
      </c>
      <c r="H13" s="570">
        <f t="shared" ref="H13:U13" si="5">G13*(1+$F$13)</f>
        <v>1.04</v>
      </c>
      <c r="I13" s="570">
        <f t="shared" si="5"/>
        <v>1.0816000000000001</v>
      </c>
      <c r="J13" s="570">
        <f t="shared" si="5"/>
        <v>1.1248640000000001</v>
      </c>
      <c r="K13" s="570">
        <f t="shared" si="5"/>
        <v>1.1698585600000002</v>
      </c>
      <c r="L13" s="570">
        <f t="shared" si="5"/>
        <v>1.2166529024000003</v>
      </c>
      <c r="M13" s="570">
        <f t="shared" si="5"/>
        <v>1.2653190184960004</v>
      </c>
      <c r="N13" s="570">
        <f t="shared" si="5"/>
        <v>1.3159317792358405</v>
      </c>
      <c r="O13" s="570">
        <f t="shared" si="5"/>
        <v>1.3685690504052741</v>
      </c>
      <c r="P13" s="570">
        <f t="shared" si="5"/>
        <v>1.4233118124214852</v>
      </c>
      <c r="Q13" s="570">
        <f t="shared" si="5"/>
        <v>1.4802442849183446</v>
      </c>
      <c r="R13" s="570">
        <f t="shared" si="5"/>
        <v>1.5394540563150785</v>
      </c>
      <c r="S13" s="570">
        <f t="shared" si="5"/>
        <v>1.6010322185676817</v>
      </c>
      <c r="T13" s="570">
        <f t="shared" si="5"/>
        <v>1.6650735073103891</v>
      </c>
      <c r="U13" s="570">
        <f t="shared" si="5"/>
        <v>1.7316764476028046</v>
      </c>
    </row>
    <row r="14" spans="2:21" ht="10.5" x14ac:dyDescent="0.15">
      <c r="B14" s="563" t="s">
        <v>1048</v>
      </c>
      <c r="C14" s="577">
        <f>Sys_YrDegradationRate</f>
        <v>7.0000000000000001E-3</v>
      </c>
    </row>
    <row r="15" spans="2:21" ht="10.5" x14ac:dyDescent="0.15">
      <c r="B15" s="563" t="s">
        <v>1049</v>
      </c>
      <c r="C15" s="578">
        <v>0.01</v>
      </c>
      <c r="E15" s="565" t="s">
        <v>1050</v>
      </c>
      <c r="F15" s="565"/>
      <c r="G15" s="565"/>
      <c r="H15" s="565"/>
      <c r="I15" s="565"/>
      <c r="J15" s="565"/>
      <c r="K15" s="565"/>
      <c r="L15" s="565"/>
      <c r="M15" s="565"/>
      <c r="N15" s="565"/>
      <c r="O15" s="565"/>
      <c r="P15" s="565"/>
      <c r="Q15" s="565"/>
      <c r="R15" s="565"/>
      <c r="S15" s="565"/>
      <c r="T15" s="565"/>
      <c r="U15" s="565"/>
    </row>
    <row r="16" spans="2:21" ht="10.5" x14ac:dyDescent="0.15">
      <c r="B16" s="563" t="s">
        <v>1051</v>
      </c>
      <c r="C16" s="578">
        <v>0.03</v>
      </c>
      <c r="E16" s="563" t="s">
        <v>1052</v>
      </c>
      <c r="F16" s="579">
        <f>C20</f>
        <v>3.5000000000000003E-2</v>
      </c>
      <c r="G16" s="570">
        <f t="shared" si="4"/>
        <v>1</v>
      </c>
      <c r="H16" s="570">
        <f t="shared" ref="H16:U16" si="6">G16*(1+$F$16)</f>
        <v>1.0349999999999999</v>
      </c>
      <c r="I16" s="570">
        <f t="shared" si="6"/>
        <v>1.0712249999999999</v>
      </c>
      <c r="J16" s="570">
        <f t="shared" si="6"/>
        <v>1.1087178749999997</v>
      </c>
      <c r="K16" s="570">
        <f t="shared" si="6"/>
        <v>1.1475230006249997</v>
      </c>
      <c r="L16" s="570">
        <f t="shared" si="6"/>
        <v>1.1876863056468745</v>
      </c>
      <c r="M16" s="570">
        <f t="shared" si="6"/>
        <v>1.229255326344515</v>
      </c>
      <c r="N16" s="570">
        <f t="shared" si="6"/>
        <v>1.2722792627665729</v>
      </c>
      <c r="O16" s="570">
        <f t="shared" si="6"/>
        <v>1.3168090369634029</v>
      </c>
      <c r="P16" s="570">
        <f t="shared" si="6"/>
        <v>1.3628973532571218</v>
      </c>
      <c r="Q16" s="570">
        <f t="shared" si="6"/>
        <v>1.410598760621121</v>
      </c>
      <c r="R16" s="570">
        <f t="shared" si="6"/>
        <v>1.4599697172428601</v>
      </c>
      <c r="S16" s="570">
        <f t="shared" si="6"/>
        <v>1.5110686573463601</v>
      </c>
      <c r="T16" s="570">
        <f t="shared" si="6"/>
        <v>1.5639560603534826</v>
      </c>
      <c r="U16" s="570">
        <f t="shared" si="6"/>
        <v>1.6186945224658542</v>
      </c>
    </row>
    <row r="17" spans="2:21" ht="10.5" x14ac:dyDescent="0.15">
      <c r="B17" s="580"/>
      <c r="C17" s="581"/>
      <c r="E17" s="563" t="s">
        <v>1053</v>
      </c>
      <c r="F17" s="582">
        <f>$C$19</f>
        <v>0.241991037037037</v>
      </c>
      <c r="G17" s="582">
        <f>F17</f>
        <v>0.241991037037037</v>
      </c>
      <c r="H17" s="582">
        <f t="shared" ref="H17:U17" si="7">H16*$F$17</f>
        <v>0.2504607233333333</v>
      </c>
      <c r="I17" s="582">
        <f t="shared" si="7"/>
        <v>0.25922684864999995</v>
      </c>
      <c r="J17" s="582">
        <f t="shared" si="7"/>
        <v>0.26829978835274992</v>
      </c>
      <c r="K17" s="582">
        <f t="shared" si="7"/>
        <v>0.27769028094509612</v>
      </c>
      <c r="L17" s="582">
        <f t="shared" si="7"/>
        <v>0.28740944077817449</v>
      </c>
      <c r="M17" s="582">
        <f t="shared" si="7"/>
        <v>0.29746877120541054</v>
      </c>
      <c r="N17" s="582">
        <f t="shared" si="7"/>
        <v>0.30788017819759989</v>
      </c>
      <c r="O17" s="582">
        <f t="shared" si="7"/>
        <v>0.31865598443451587</v>
      </c>
      <c r="P17" s="582">
        <f t="shared" si="7"/>
        <v>0.32980894388972387</v>
      </c>
      <c r="Q17" s="582">
        <f t="shared" si="7"/>
        <v>0.34135225692586418</v>
      </c>
      <c r="R17" s="582">
        <f t="shared" si="7"/>
        <v>0.35329958591826938</v>
      </c>
      <c r="S17" s="582">
        <f t="shared" si="7"/>
        <v>0.36566507142540883</v>
      </c>
      <c r="T17" s="582">
        <f t="shared" si="7"/>
        <v>0.37846334892529809</v>
      </c>
      <c r="U17" s="582">
        <f t="shared" si="7"/>
        <v>0.39170956613768343</v>
      </c>
    </row>
    <row r="18" spans="2:21" ht="10.5" x14ac:dyDescent="0.15">
      <c r="B18" s="563" t="s">
        <v>1054</v>
      </c>
      <c r="C18" s="583">
        <f>MySol_TotalRate*(1.16)</f>
        <v>4.3558386666666662</v>
      </c>
      <c r="D18" s="621">
        <f>NPV(0.15,G18:U18)*$C$7</f>
        <v>163331.7001403608</v>
      </c>
      <c r="E18" s="563" t="s">
        <v>1055</v>
      </c>
      <c r="F18" s="559">
        <f>C10</f>
        <v>3.25</v>
      </c>
      <c r="G18" s="582">
        <f>G11*G17*$F$18</f>
        <v>1374.6608248666466</v>
      </c>
      <c r="H18" s="582">
        <f t="shared" ref="H18:U18" si="8">H11*H17*$F$18</f>
        <v>1412.8145360608205</v>
      </c>
      <c r="I18" s="582">
        <f t="shared" si="8"/>
        <v>1452.0272035091882</v>
      </c>
      <c r="J18" s="582">
        <f t="shared" si="8"/>
        <v>1492.3282185425858</v>
      </c>
      <c r="K18" s="582">
        <f t="shared" si="8"/>
        <v>1533.7477882482349</v>
      </c>
      <c r="L18" s="582">
        <f t="shared" si="8"/>
        <v>1544.4721710785179</v>
      </c>
      <c r="M18" s="582">
        <f t="shared" si="8"/>
        <v>1587.3389961868018</v>
      </c>
      <c r="N18" s="582">
        <f t="shared" si="8"/>
        <v>1631.3955900259664</v>
      </c>
      <c r="O18" s="582">
        <f t="shared" si="8"/>
        <v>1676.6749746271369</v>
      </c>
      <c r="P18" s="582">
        <f t="shared" si="8"/>
        <v>1723.2110885479128</v>
      </c>
      <c r="Q18" s="582">
        <f t="shared" si="8"/>
        <v>1771.0388123105599</v>
      </c>
      <c r="R18" s="582">
        <f t="shared" si="8"/>
        <v>1820.1939945462393</v>
      </c>
      <c r="S18" s="582">
        <f t="shared" si="8"/>
        <v>1870.7134788648702</v>
      </c>
      <c r="T18" s="582">
        <f t="shared" si="8"/>
        <v>1922.6351314707645</v>
      </c>
      <c r="U18" s="582">
        <f t="shared" si="8"/>
        <v>1975.9978695447353</v>
      </c>
    </row>
    <row r="19" spans="2:21" ht="10.5" x14ac:dyDescent="0.15">
      <c r="B19" s="563" t="s">
        <v>1056</v>
      </c>
      <c r="C19" s="626">
        <f>C18/$C$7</f>
        <v>0.241991037037037</v>
      </c>
      <c r="E19" s="563" t="s">
        <v>1094</v>
      </c>
      <c r="G19" s="629">
        <f>G18*$C$7</f>
        <v>24743.89484759964</v>
      </c>
      <c r="H19" s="629">
        <f>H18*$C$7</f>
        <v>25430.661649094771</v>
      </c>
      <c r="I19" s="629">
        <f t="shared" ref="I19:U19" si="9">I18*$C$7</f>
        <v>26136.489663165386</v>
      </c>
      <c r="J19" s="629">
        <f t="shared" si="9"/>
        <v>26861.907933766543</v>
      </c>
      <c r="K19" s="629">
        <f t="shared" si="9"/>
        <v>27607.460188468227</v>
      </c>
      <c r="L19" s="629">
        <f t="shared" si="9"/>
        <v>27800.499079413323</v>
      </c>
      <c r="M19" s="629">
        <f t="shared" si="9"/>
        <v>28572.101931362431</v>
      </c>
      <c r="N19" s="629">
        <f t="shared" si="9"/>
        <v>29365.120620467394</v>
      </c>
      <c r="O19" s="629">
        <f t="shared" si="9"/>
        <v>30180.149543288462</v>
      </c>
      <c r="P19" s="629">
        <f>P18*$C$7</f>
        <v>31017.79959386243</v>
      </c>
      <c r="Q19" s="629">
        <f t="shared" si="9"/>
        <v>31878.69862159008</v>
      </c>
      <c r="R19" s="629">
        <f t="shared" si="9"/>
        <v>32763.491901832309</v>
      </c>
      <c r="S19" s="629">
        <f t="shared" si="9"/>
        <v>33672.842619567666</v>
      </c>
      <c r="T19" s="629">
        <f t="shared" si="9"/>
        <v>34607.43236647376</v>
      </c>
      <c r="U19" s="629">
        <f t="shared" si="9"/>
        <v>35567.961651805235</v>
      </c>
    </row>
    <row r="20" spans="2:21" ht="12.75" x14ac:dyDescent="0.2">
      <c r="B20" s="563" t="s">
        <v>1057</v>
      </c>
      <c r="C20" s="567">
        <f>FinYrIncr</f>
        <v>3.5000000000000003E-2</v>
      </c>
      <c r="E20" s="584" t="s">
        <v>1058</v>
      </c>
      <c r="G20" s="585">
        <f>$C$23</f>
        <v>0.02</v>
      </c>
      <c r="H20" s="585">
        <f t="shared" ref="H20:U20" si="10">G20+$C$23*(1-G20)</f>
        <v>3.9599999999999996E-2</v>
      </c>
      <c r="I20" s="585">
        <f t="shared" si="10"/>
        <v>5.8807999999999999E-2</v>
      </c>
      <c r="J20" s="585">
        <f t="shared" si="10"/>
        <v>7.7631840000000008E-2</v>
      </c>
      <c r="K20" s="585">
        <f t="shared" si="10"/>
        <v>9.6079203200000005E-2</v>
      </c>
      <c r="L20" s="585">
        <f t="shared" si="10"/>
        <v>0.114157619136</v>
      </c>
      <c r="M20" s="585">
        <f t="shared" si="10"/>
        <v>0.13187446675328002</v>
      </c>
      <c r="N20" s="585">
        <f t="shared" si="10"/>
        <v>0.14923697741821443</v>
      </c>
      <c r="O20" s="585">
        <f t="shared" si="10"/>
        <v>0.16625223786985013</v>
      </c>
      <c r="P20" s="585">
        <f t="shared" si="10"/>
        <v>0.18292719311245315</v>
      </c>
      <c r="Q20" s="585">
        <f t="shared" si="10"/>
        <v>0.19926864925020407</v>
      </c>
      <c r="R20" s="585">
        <f t="shared" si="10"/>
        <v>0.2152832762652</v>
      </c>
      <c r="S20" s="585">
        <f t="shared" si="10"/>
        <v>0.23097761073989601</v>
      </c>
      <c r="T20" s="585">
        <f t="shared" si="10"/>
        <v>0.24635805852509809</v>
      </c>
      <c r="U20" s="585">
        <f t="shared" si="10"/>
        <v>0.26143089735459613</v>
      </c>
    </row>
    <row r="21" spans="2:21" ht="12.75" x14ac:dyDescent="0.2">
      <c r="B21" s="563" t="s">
        <v>1059</v>
      </c>
      <c r="C21" s="564">
        <f>Cust_LeaseTermYears</f>
        <v>15</v>
      </c>
      <c r="E21" s="584" t="s">
        <v>1060</v>
      </c>
      <c r="G21" s="585">
        <v>2.1200000000000012E-3</v>
      </c>
      <c r="H21" s="585">
        <v>9.6600000000000002E-3</v>
      </c>
      <c r="I21" s="585">
        <v>1.72E-2</v>
      </c>
      <c r="J21" s="585">
        <v>2.4739999999999998E-2</v>
      </c>
      <c r="K21" s="585">
        <v>3.2280000000000003E-2</v>
      </c>
      <c r="L21" s="585">
        <v>3.9819999999999994E-2</v>
      </c>
      <c r="M21" s="585">
        <v>4.7359999999999999E-2</v>
      </c>
      <c r="N21" s="585">
        <v>5.489999999999999E-2</v>
      </c>
      <c r="O21" s="585">
        <v>6.2439999999999996E-2</v>
      </c>
      <c r="P21" s="585">
        <v>6.9980000000000001E-2</v>
      </c>
      <c r="Q21" s="585">
        <v>7.7519999999999992E-2</v>
      </c>
      <c r="R21" s="585">
        <v>8.5059999999999997E-2</v>
      </c>
      <c r="S21" s="585">
        <v>9.2599999999999988E-2</v>
      </c>
      <c r="T21" s="585">
        <v>0.10013999999999999</v>
      </c>
      <c r="U21" s="585">
        <v>0.10767999999999998</v>
      </c>
    </row>
    <row r="22" spans="2:21" ht="12.75" x14ac:dyDescent="0.2">
      <c r="B22" s="580"/>
      <c r="C22" s="586"/>
      <c r="E22" s="584" t="s">
        <v>1061</v>
      </c>
      <c r="G22" s="585">
        <v>1.0600000000000006E-3</v>
      </c>
      <c r="H22" s="585">
        <v>3.7699999999999999E-3</v>
      </c>
      <c r="I22" s="585">
        <v>6.4799999999999996E-3</v>
      </c>
      <c r="J22" s="585">
        <v>9.1899999999999985E-3</v>
      </c>
      <c r="K22" s="585">
        <v>1.1899999999999997E-2</v>
      </c>
      <c r="L22" s="585">
        <v>1.4609999999999998E-2</v>
      </c>
      <c r="M22" s="585">
        <v>1.7319999999999995E-2</v>
      </c>
      <c r="N22" s="585">
        <v>2.0029999999999996E-2</v>
      </c>
      <c r="O22" s="585">
        <v>2.2739999999999996E-2</v>
      </c>
      <c r="P22" s="585">
        <v>2.5449999999999993E-2</v>
      </c>
      <c r="Q22" s="585">
        <v>2.8159999999999994E-2</v>
      </c>
      <c r="R22" s="585">
        <v>3.0869999999999995E-2</v>
      </c>
      <c r="S22" s="585">
        <v>3.3579999999999992E-2</v>
      </c>
      <c r="T22" s="585">
        <v>3.6289999999999989E-2</v>
      </c>
      <c r="U22" s="585">
        <v>3.8999999999999993E-2</v>
      </c>
    </row>
    <row r="23" spans="2:21" ht="10.5" x14ac:dyDescent="0.15">
      <c r="B23" s="563" t="s">
        <v>1021</v>
      </c>
      <c r="C23" s="567">
        <f>StdDefaultRate</f>
        <v>0.02</v>
      </c>
      <c r="E23" s="584"/>
      <c r="H23" s="587"/>
      <c r="I23" s="587"/>
      <c r="J23" s="587"/>
      <c r="K23" s="587"/>
      <c r="L23" s="587"/>
      <c r="M23" s="587"/>
      <c r="N23" s="587"/>
      <c r="O23" s="587"/>
      <c r="P23" s="587"/>
    </row>
    <row r="24" spans="2:21" ht="10.5" x14ac:dyDescent="0.15">
      <c r="B24" s="563" t="s">
        <v>1062</v>
      </c>
      <c r="C24" s="588">
        <f>OpExpensePerKwUSD</f>
        <v>20</v>
      </c>
      <c r="D24" s="621">
        <f>NPV(0.15,G24:U24)*$C$7</f>
        <v>160077.35558607415</v>
      </c>
      <c r="E24" s="563" t="s">
        <v>1063</v>
      </c>
      <c r="F24" s="570"/>
      <c r="G24" s="582">
        <f t="shared" ref="G24:U24" si="11">G18*(1-$C$23)+IF(G6=$C$21,$C$37/$C$7,0)</f>
        <v>1347.1676083693137</v>
      </c>
      <c r="H24" s="582">
        <f t="shared" si="11"/>
        <v>1384.5582453396041</v>
      </c>
      <c r="I24" s="582">
        <f t="shared" si="11"/>
        <v>1422.9866594390044</v>
      </c>
      <c r="J24" s="582">
        <f t="shared" si="11"/>
        <v>1462.4816541717341</v>
      </c>
      <c r="K24" s="582">
        <f t="shared" si="11"/>
        <v>1503.0728324832701</v>
      </c>
      <c r="L24" s="582">
        <f t="shared" si="11"/>
        <v>1513.5827276569476</v>
      </c>
      <c r="M24" s="582">
        <f t="shared" si="11"/>
        <v>1555.5922162630657</v>
      </c>
      <c r="N24" s="582">
        <f t="shared" si="11"/>
        <v>1598.7676782254471</v>
      </c>
      <c r="O24" s="582">
        <f t="shared" si="11"/>
        <v>1643.1414751345942</v>
      </c>
      <c r="P24" s="582">
        <f t="shared" si="11"/>
        <v>1688.7468667769544</v>
      </c>
      <c r="Q24" s="582">
        <f t="shared" si="11"/>
        <v>1735.6180360643486</v>
      </c>
      <c r="R24" s="582">
        <f t="shared" si="11"/>
        <v>1783.7901146553145</v>
      </c>
      <c r="S24" s="582">
        <f t="shared" si="11"/>
        <v>1833.2992092875727</v>
      </c>
      <c r="T24" s="582">
        <f t="shared" si="11"/>
        <v>1884.1824288413491</v>
      </c>
      <c r="U24" s="582">
        <f t="shared" si="11"/>
        <v>1942.0334677093963</v>
      </c>
    </row>
    <row r="25" spans="2:21" ht="10.5" x14ac:dyDescent="0.15">
      <c r="B25" s="563" t="s">
        <v>1064</v>
      </c>
      <c r="C25" s="589">
        <v>0</v>
      </c>
      <c r="D25" s="621">
        <f>D18-D24</f>
        <v>3254.3445542866539</v>
      </c>
      <c r="E25" s="563" t="s">
        <v>1065</v>
      </c>
      <c r="G25" s="582">
        <f>G18*(1-G21)</f>
        <v>1371.7465439179293</v>
      </c>
      <c r="H25" s="582">
        <f t="shared" ref="H25:U25" si="12">H18*(1-(H21-G21))</f>
        <v>1402.161914458922</v>
      </c>
      <c r="I25" s="582">
        <f t="shared" si="12"/>
        <v>1441.078918394729</v>
      </c>
      <c r="J25" s="582">
        <f t="shared" si="12"/>
        <v>1481.0760637747746</v>
      </c>
      <c r="K25" s="582">
        <f t="shared" si="12"/>
        <v>1522.1833299248433</v>
      </c>
      <c r="L25" s="582">
        <f t="shared" si="12"/>
        <v>1532.8268509085858</v>
      </c>
      <c r="M25" s="582">
        <f t="shared" si="12"/>
        <v>1575.3704601555532</v>
      </c>
      <c r="N25" s="582">
        <f t="shared" si="12"/>
        <v>1619.0948672771706</v>
      </c>
      <c r="O25" s="582">
        <f t="shared" si="12"/>
        <v>1664.0328453184482</v>
      </c>
      <c r="P25" s="582">
        <f t="shared" si="12"/>
        <v>1710.2180769402617</v>
      </c>
      <c r="Q25" s="582">
        <f t="shared" si="12"/>
        <v>1757.6851796657384</v>
      </c>
      <c r="R25" s="582">
        <f t="shared" si="12"/>
        <v>1806.4697318273606</v>
      </c>
      <c r="S25" s="582">
        <f t="shared" si="12"/>
        <v>1856.6082992342292</v>
      </c>
      <c r="T25" s="582">
        <f t="shared" si="12"/>
        <v>1908.1384625794749</v>
      </c>
      <c r="U25" s="582">
        <f t="shared" si="12"/>
        <v>1961.098845608368</v>
      </c>
    </row>
    <row r="26" spans="2:21" ht="10.5" x14ac:dyDescent="0.15">
      <c r="C26" s="576"/>
      <c r="E26" s="563" t="s">
        <v>1066</v>
      </c>
      <c r="G26" s="582">
        <f>G18*(1-G22)</f>
        <v>1373.2036843922881</v>
      </c>
      <c r="H26" s="582">
        <f t="shared" ref="H26:U26" si="13">H18*(1-(H22-G22))</f>
        <v>1408.9858086680956</v>
      </c>
      <c r="I26" s="582">
        <f t="shared" si="13"/>
        <v>1448.0922097876783</v>
      </c>
      <c r="J26" s="582">
        <f t="shared" si="13"/>
        <v>1488.2840090703353</v>
      </c>
      <c r="K26" s="582">
        <f t="shared" si="13"/>
        <v>1529.5913317420823</v>
      </c>
      <c r="L26" s="582">
        <f t="shared" si="13"/>
        <v>1540.2866514948951</v>
      </c>
      <c r="M26" s="582">
        <f t="shared" si="13"/>
        <v>1583.0373075071354</v>
      </c>
      <c r="N26" s="582">
        <f t="shared" si="13"/>
        <v>1626.9745079769959</v>
      </c>
      <c r="O26" s="582">
        <f t="shared" si="13"/>
        <v>1672.1311854458972</v>
      </c>
      <c r="P26" s="582">
        <f t="shared" si="13"/>
        <v>1718.541186497948</v>
      </c>
      <c r="Q26" s="582">
        <f t="shared" si="13"/>
        <v>1766.2392971291983</v>
      </c>
      <c r="R26" s="582">
        <f t="shared" si="13"/>
        <v>1815.261268821019</v>
      </c>
      <c r="S26" s="582">
        <f t="shared" si="13"/>
        <v>1865.6438453371466</v>
      </c>
      <c r="T26" s="582">
        <f t="shared" si="13"/>
        <v>1917.4247902644788</v>
      </c>
      <c r="U26" s="582">
        <f t="shared" si="13"/>
        <v>1970.6429153182692</v>
      </c>
    </row>
    <row r="27" spans="2:21" ht="10.5" x14ac:dyDescent="0.15">
      <c r="B27" s="627" t="s">
        <v>1067</v>
      </c>
      <c r="C27" s="628">
        <v>0.28000000000000003</v>
      </c>
      <c r="G27" s="634"/>
    </row>
    <row r="28" spans="2:21" ht="10.5" x14ac:dyDescent="0.15">
      <c r="B28" s="563" t="s">
        <v>1018</v>
      </c>
      <c r="C28" s="574">
        <v>12</v>
      </c>
      <c r="E28" s="565" t="s">
        <v>1068</v>
      </c>
      <c r="F28" s="565"/>
      <c r="G28" s="565"/>
      <c r="H28" s="565"/>
      <c r="I28" s="565"/>
      <c r="J28" s="565"/>
      <c r="K28" s="565"/>
      <c r="L28" s="565"/>
      <c r="M28" s="565"/>
      <c r="N28" s="565"/>
      <c r="O28" s="565"/>
      <c r="P28" s="565"/>
      <c r="Q28" s="565"/>
      <c r="R28" s="565"/>
      <c r="S28" s="565"/>
      <c r="T28" s="565"/>
      <c r="U28" s="565"/>
    </row>
    <row r="29" spans="2:21" ht="10.5" x14ac:dyDescent="0.15">
      <c r="B29" s="563" t="s">
        <v>1069</v>
      </c>
      <c r="C29" s="588">
        <f>Sys_InverterCostUSD_PreIVA</f>
        <v>850.57</v>
      </c>
      <c r="D29" s="621">
        <f>NPV(0.15,G29:U29)*$C$7</f>
        <v>8282.2595523454183</v>
      </c>
      <c r="E29" s="563" t="s">
        <v>1070</v>
      </c>
      <c r="F29" s="590">
        <f>C24</f>
        <v>20</v>
      </c>
      <c r="G29" s="590">
        <f t="shared" ref="G29:U29" si="14">$F$29*G13*$C$10</f>
        <v>65</v>
      </c>
      <c r="H29" s="590">
        <f t="shared" si="14"/>
        <v>67.600000000000009</v>
      </c>
      <c r="I29" s="590">
        <f t="shared" si="14"/>
        <v>70.304000000000002</v>
      </c>
      <c r="J29" s="590">
        <f t="shared" si="14"/>
        <v>73.116160000000008</v>
      </c>
      <c r="K29" s="590">
        <f t="shared" si="14"/>
        <v>76.040806400000008</v>
      </c>
      <c r="L29" s="590">
        <f t="shared" si="14"/>
        <v>79.082438656000022</v>
      </c>
      <c r="M29" s="590">
        <f t="shared" si="14"/>
        <v>82.245736202240025</v>
      </c>
      <c r="N29" s="590">
        <f t="shared" si="14"/>
        <v>85.53556565032963</v>
      </c>
      <c r="O29" s="590">
        <f t="shared" si="14"/>
        <v>88.956988276342813</v>
      </c>
      <c r="P29" s="590">
        <f t="shared" si="14"/>
        <v>92.515267807396526</v>
      </c>
      <c r="Q29" s="590">
        <f t="shared" si="14"/>
        <v>96.215878519692396</v>
      </c>
      <c r="R29" s="590">
        <f t="shared" si="14"/>
        <v>100.06451366048009</v>
      </c>
      <c r="S29" s="590">
        <f t="shared" si="14"/>
        <v>104.06709420689931</v>
      </c>
      <c r="T29" s="590">
        <f t="shared" si="14"/>
        <v>108.2297779751753</v>
      </c>
      <c r="U29" s="590">
        <f t="shared" si="14"/>
        <v>112.55896909418229</v>
      </c>
    </row>
    <row r="30" spans="2:21" ht="10.5" x14ac:dyDescent="0.15">
      <c r="B30" s="563" t="s">
        <v>1071</v>
      </c>
      <c r="C30" s="591">
        <v>0.7</v>
      </c>
      <c r="D30" s="621">
        <f>NPV(0.15,G30:U30)*$C$7</f>
        <v>0</v>
      </c>
      <c r="E30" s="563" t="s">
        <v>1072</v>
      </c>
      <c r="F30" s="590">
        <f>C25</f>
        <v>0</v>
      </c>
      <c r="G30" s="590">
        <f t="shared" ref="G30:U30" si="15">$F$30*G13*$C$10</f>
        <v>0</v>
      </c>
      <c r="H30" s="590">
        <f t="shared" si="15"/>
        <v>0</v>
      </c>
      <c r="I30" s="590">
        <f t="shared" si="15"/>
        <v>0</v>
      </c>
      <c r="J30" s="590">
        <f t="shared" si="15"/>
        <v>0</v>
      </c>
      <c r="K30" s="590">
        <f t="shared" si="15"/>
        <v>0</v>
      </c>
      <c r="L30" s="590">
        <f t="shared" si="15"/>
        <v>0</v>
      </c>
      <c r="M30" s="590">
        <f t="shared" si="15"/>
        <v>0</v>
      </c>
      <c r="N30" s="590">
        <f t="shared" si="15"/>
        <v>0</v>
      </c>
      <c r="O30" s="590">
        <f t="shared" si="15"/>
        <v>0</v>
      </c>
      <c r="P30" s="590">
        <f t="shared" si="15"/>
        <v>0</v>
      </c>
      <c r="Q30" s="590">
        <f t="shared" si="15"/>
        <v>0</v>
      </c>
      <c r="R30" s="590">
        <f t="shared" si="15"/>
        <v>0</v>
      </c>
      <c r="S30" s="590">
        <f t="shared" si="15"/>
        <v>0</v>
      </c>
      <c r="T30" s="590">
        <f t="shared" si="15"/>
        <v>0</v>
      </c>
      <c r="U30" s="590">
        <f t="shared" si="15"/>
        <v>0</v>
      </c>
    </row>
    <row r="31" spans="2:21" ht="10.5" x14ac:dyDescent="0.15">
      <c r="B31" s="644" t="s">
        <v>1073</v>
      </c>
      <c r="C31" s="592">
        <f>EquipReplaceReservePerW_USD</f>
        <v>0</v>
      </c>
      <c r="D31" s="621">
        <f>NPV(0.15,G31:U31)*$C$7</f>
        <v>3083.7080467112428</v>
      </c>
      <c r="E31" s="563" t="s">
        <v>1074</v>
      </c>
      <c r="F31" s="593">
        <f>C29</f>
        <v>850.57</v>
      </c>
      <c r="G31" s="559">
        <f t="shared" ref="G31:U31" si="16">IF(G6=$C$28,$F$31*$C$30*G13,0)</f>
        <v>0</v>
      </c>
      <c r="H31" s="559">
        <f t="shared" si="16"/>
        <v>0</v>
      </c>
      <c r="I31" s="559">
        <f t="shared" si="16"/>
        <v>0</v>
      </c>
      <c r="J31" s="559">
        <f t="shared" si="16"/>
        <v>0</v>
      </c>
      <c r="K31" s="559">
        <f t="shared" si="16"/>
        <v>0</v>
      </c>
      <c r="L31" s="559">
        <f t="shared" si="16"/>
        <v>0</v>
      </c>
      <c r="M31" s="559">
        <f t="shared" si="16"/>
        <v>0</v>
      </c>
      <c r="N31" s="559">
        <f t="shared" si="16"/>
        <v>0</v>
      </c>
      <c r="O31" s="559">
        <f t="shared" si="16"/>
        <v>0</v>
      </c>
      <c r="P31" s="559">
        <f t="shared" si="16"/>
        <v>0</v>
      </c>
      <c r="Q31" s="559">
        <f t="shared" si="16"/>
        <v>0</v>
      </c>
      <c r="R31" s="593">
        <f t="shared" si="16"/>
        <v>916.58940567594141</v>
      </c>
      <c r="S31" s="559">
        <f t="shared" si="16"/>
        <v>0</v>
      </c>
      <c r="T31" s="559">
        <f t="shared" si="16"/>
        <v>0</v>
      </c>
      <c r="U31" s="559">
        <f t="shared" si="16"/>
        <v>0</v>
      </c>
    </row>
    <row r="32" spans="2:21" ht="10.5" x14ac:dyDescent="0.15">
      <c r="B32" s="580"/>
      <c r="D32" s="621">
        <f>NPV(0.15,G32:U32)*$C$7</f>
        <v>0</v>
      </c>
      <c r="E32" s="563" t="s">
        <v>1024</v>
      </c>
      <c r="F32" s="593">
        <f>$C$31*$C$10*1000</f>
        <v>0</v>
      </c>
      <c r="G32" s="593">
        <f t="shared" ref="G32:U32" si="17">$F$32*G13</f>
        <v>0</v>
      </c>
      <c r="H32" s="593">
        <f t="shared" si="17"/>
        <v>0</v>
      </c>
      <c r="I32" s="593">
        <f t="shared" si="17"/>
        <v>0</v>
      </c>
      <c r="J32" s="593">
        <f t="shared" si="17"/>
        <v>0</v>
      </c>
      <c r="K32" s="593">
        <f t="shared" si="17"/>
        <v>0</v>
      </c>
      <c r="L32" s="593">
        <f t="shared" si="17"/>
        <v>0</v>
      </c>
      <c r="M32" s="593">
        <f t="shared" si="17"/>
        <v>0</v>
      </c>
      <c r="N32" s="593">
        <f t="shared" si="17"/>
        <v>0</v>
      </c>
      <c r="O32" s="593">
        <f t="shared" si="17"/>
        <v>0</v>
      </c>
      <c r="P32" s="593">
        <f t="shared" si="17"/>
        <v>0</v>
      </c>
      <c r="Q32" s="593">
        <f t="shared" si="17"/>
        <v>0</v>
      </c>
      <c r="R32" s="593">
        <f t="shared" si="17"/>
        <v>0</v>
      </c>
      <c r="S32" s="593">
        <f t="shared" si="17"/>
        <v>0</v>
      </c>
      <c r="T32" s="593">
        <f t="shared" si="17"/>
        <v>0</v>
      </c>
      <c r="U32" s="593">
        <f t="shared" si="17"/>
        <v>0</v>
      </c>
    </row>
    <row r="33" spans="2:21" ht="10.5" x14ac:dyDescent="0.15">
      <c r="B33" s="563" t="s">
        <v>1075</v>
      </c>
      <c r="C33" s="594">
        <f>EqInv_ReqIRR</f>
        <v>0.15</v>
      </c>
      <c r="D33" s="621">
        <f>NPV(0.15,G33:U33)*$C$7</f>
        <v>11365.967599056659</v>
      </c>
      <c r="E33" s="563" t="s">
        <v>1026</v>
      </c>
      <c r="G33" s="590">
        <f t="shared" ref="G33:U33" si="18">SUM(G29:G32)</f>
        <v>65</v>
      </c>
      <c r="H33" s="590">
        <f t="shared" si="18"/>
        <v>67.600000000000009</v>
      </c>
      <c r="I33" s="590">
        <f t="shared" si="18"/>
        <v>70.304000000000002</v>
      </c>
      <c r="J33" s="590">
        <f t="shared" si="18"/>
        <v>73.116160000000008</v>
      </c>
      <c r="K33" s="590">
        <f t="shared" si="18"/>
        <v>76.040806400000008</v>
      </c>
      <c r="L33" s="590">
        <f t="shared" si="18"/>
        <v>79.082438656000022</v>
      </c>
      <c r="M33" s="590">
        <f t="shared" si="18"/>
        <v>82.245736202240025</v>
      </c>
      <c r="N33" s="590">
        <f t="shared" si="18"/>
        <v>85.53556565032963</v>
      </c>
      <c r="O33" s="590">
        <f t="shared" si="18"/>
        <v>88.956988276342813</v>
      </c>
      <c r="P33" s="590">
        <f t="shared" si="18"/>
        <v>92.515267807396526</v>
      </c>
      <c r="Q33" s="590">
        <f t="shared" si="18"/>
        <v>96.215878519692396</v>
      </c>
      <c r="R33" s="590">
        <f t="shared" si="18"/>
        <v>1016.6539193364215</v>
      </c>
      <c r="S33" s="590">
        <f t="shared" si="18"/>
        <v>104.06709420689931</v>
      </c>
      <c r="T33" s="590">
        <f t="shared" si="18"/>
        <v>108.2297779751753</v>
      </c>
      <c r="U33" s="590">
        <f t="shared" si="18"/>
        <v>112.55896909418229</v>
      </c>
    </row>
    <row r="34" spans="2:21" ht="10.5" x14ac:dyDescent="0.15">
      <c r="B34" s="563" t="s">
        <v>1076</v>
      </c>
      <c r="C34" s="595">
        <v>0.15</v>
      </c>
      <c r="G34" s="573"/>
    </row>
    <row r="35" spans="2:21" ht="10.5" x14ac:dyDescent="0.15">
      <c r="B35" s="563" t="s">
        <v>1077</v>
      </c>
      <c r="C35" s="595">
        <v>0.15</v>
      </c>
      <c r="E35" s="596" t="s">
        <v>1078</v>
      </c>
      <c r="F35" s="597"/>
      <c r="G35" s="597"/>
      <c r="H35" s="597"/>
      <c r="I35" s="597"/>
      <c r="J35" s="597"/>
      <c r="K35" s="597"/>
      <c r="L35" s="597"/>
      <c r="M35" s="597"/>
      <c r="N35" s="597"/>
      <c r="O35" s="597"/>
      <c r="P35" s="597"/>
      <c r="Q35" s="597"/>
      <c r="R35" s="597"/>
      <c r="S35" s="597"/>
      <c r="T35" s="597"/>
      <c r="U35" s="597"/>
    </row>
    <row r="36" spans="2:21" ht="10.5" x14ac:dyDescent="0.15">
      <c r="B36" s="580"/>
      <c r="D36" s="621">
        <f>NPV(0.15,G36:U36)*$C$7</f>
        <v>148711.3879870174</v>
      </c>
      <c r="E36" s="563" t="s">
        <v>1079</v>
      </c>
      <c r="G36" s="582">
        <f t="shared" ref="G36:U36" si="19">G24-G33</f>
        <v>1282.1676083693137</v>
      </c>
      <c r="H36" s="582">
        <f t="shared" si="19"/>
        <v>1316.9582453396042</v>
      </c>
      <c r="I36" s="582">
        <f t="shared" si="19"/>
        <v>1352.6826594390043</v>
      </c>
      <c r="J36" s="582">
        <f t="shared" si="19"/>
        <v>1389.3654941717341</v>
      </c>
      <c r="K36" s="582">
        <f t="shared" si="19"/>
        <v>1427.03202608327</v>
      </c>
      <c r="L36" s="582">
        <f t="shared" si="19"/>
        <v>1434.5002890009475</v>
      </c>
      <c r="M36" s="582">
        <f t="shared" si="19"/>
        <v>1473.3464800608256</v>
      </c>
      <c r="N36" s="582">
        <f t="shared" si="19"/>
        <v>1513.2321125751175</v>
      </c>
      <c r="O36" s="582">
        <f t="shared" si="19"/>
        <v>1554.1844868582514</v>
      </c>
      <c r="P36" s="582">
        <f t="shared" si="19"/>
        <v>1596.231598969558</v>
      </c>
      <c r="Q36" s="582">
        <f t="shared" si="19"/>
        <v>1639.4021575446563</v>
      </c>
      <c r="R36" s="582">
        <f t="shared" si="19"/>
        <v>767.13619531889299</v>
      </c>
      <c r="S36" s="582">
        <f t="shared" si="19"/>
        <v>1729.2321150806733</v>
      </c>
      <c r="T36" s="582">
        <f t="shared" si="19"/>
        <v>1775.9526508661738</v>
      </c>
      <c r="U36" s="582">
        <f t="shared" si="19"/>
        <v>1829.4744986152141</v>
      </c>
    </row>
    <row r="37" spans="2:21" ht="10.5" x14ac:dyDescent="0.15">
      <c r="B37" s="563" t="s">
        <v>984</v>
      </c>
      <c r="C37" s="630">
        <f>Cust_TotalPymtAtTermEnd</f>
        <v>100</v>
      </c>
      <c r="D37" s="621"/>
      <c r="E37" s="563" t="s">
        <v>1080</v>
      </c>
      <c r="G37" s="582">
        <f t="shared" ref="G37:U37" si="20">G25-G33</f>
        <v>1306.7465439179293</v>
      </c>
      <c r="H37" s="582">
        <f t="shared" si="20"/>
        <v>1334.561914458922</v>
      </c>
      <c r="I37" s="582">
        <f t="shared" si="20"/>
        <v>1370.774918394729</v>
      </c>
      <c r="J37" s="582">
        <f t="shared" si="20"/>
        <v>1407.9599037747746</v>
      </c>
      <c r="K37" s="582">
        <f t="shared" si="20"/>
        <v>1446.1425235248432</v>
      </c>
      <c r="L37" s="582">
        <f t="shared" si="20"/>
        <v>1453.7444122525858</v>
      </c>
      <c r="M37" s="582">
        <f t="shared" si="20"/>
        <v>1493.1247239533132</v>
      </c>
      <c r="N37" s="582">
        <f t="shared" si="20"/>
        <v>1533.559301626841</v>
      </c>
      <c r="O37" s="582">
        <f t="shared" si="20"/>
        <v>1575.0758570421053</v>
      </c>
      <c r="P37" s="582">
        <f t="shared" si="20"/>
        <v>1617.7028091328652</v>
      </c>
      <c r="Q37" s="582">
        <f t="shared" si="20"/>
        <v>1661.4693011460461</v>
      </c>
      <c r="R37" s="582">
        <f t="shared" si="20"/>
        <v>789.81581249093915</v>
      </c>
      <c r="S37" s="582">
        <f t="shared" si="20"/>
        <v>1752.5412050273299</v>
      </c>
      <c r="T37" s="582">
        <f t="shared" si="20"/>
        <v>1799.9086846042997</v>
      </c>
      <c r="U37" s="582">
        <f t="shared" si="20"/>
        <v>1848.5398765141858</v>
      </c>
    </row>
    <row r="38" spans="2:21" ht="10.5" x14ac:dyDescent="0.15">
      <c r="E38" s="563" t="s">
        <v>1081</v>
      </c>
      <c r="G38" s="582">
        <f t="shared" ref="G38:U38" si="21">G26-G33</f>
        <v>1308.2036843922881</v>
      </c>
      <c r="H38" s="582">
        <f t="shared" si="21"/>
        <v>1341.3858086680957</v>
      </c>
      <c r="I38" s="582">
        <f t="shared" si="21"/>
        <v>1377.7882097876782</v>
      </c>
      <c r="J38" s="582">
        <f t="shared" si="21"/>
        <v>1415.1678490703353</v>
      </c>
      <c r="K38" s="582">
        <f t="shared" si="21"/>
        <v>1453.5505253420822</v>
      </c>
      <c r="L38" s="582">
        <f t="shared" si="21"/>
        <v>1461.204212838895</v>
      </c>
      <c r="M38" s="582">
        <f t="shared" si="21"/>
        <v>1500.7915713048953</v>
      </c>
      <c r="N38" s="582">
        <f t="shared" si="21"/>
        <v>1541.4389423266664</v>
      </c>
      <c r="O38" s="582">
        <f t="shared" si="21"/>
        <v>1583.1741971695544</v>
      </c>
      <c r="P38" s="582">
        <f t="shared" si="21"/>
        <v>1626.0259186905514</v>
      </c>
      <c r="Q38" s="582">
        <f t="shared" si="21"/>
        <v>1670.0234186095061</v>
      </c>
      <c r="R38" s="582">
        <f t="shared" si="21"/>
        <v>798.60734948459753</v>
      </c>
      <c r="S38" s="582">
        <f t="shared" si="21"/>
        <v>1761.5767511302472</v>
      </c>
      <c r="T38" s="582">
        <f t="shared" si="21"/>
        <v>1809.1950122893036</v>
      </c>
      <c r="U38" s="582">
        <f t="shared" si="21"/>
        <v>1858.083946224087</v>
      </c>
    </row>
    <row r="39" spans="2:21" ht="10.5" x14ac:dyDescent="0.15">
      <c r="B39" s="598" t="s">
        <v>1084</v>
      </c>
      <c r="C39" s="631">
        <f>INDEX($G$42:$P$42,1,MATCH($C$21,$G$41:$P$41,0))*C7</f>
        <v>148711.3879870174</v>
      </c>
      <c r="E39" s="580"/>
      <c r="G39" s="582"/>
      <c r="H39" s="582"/>
      <c r="I39" s="582"/>
      <c r="J39" s="582"/>
      <c r="K39" s="582"/>
      <c r="L39" s="582"/>
      <c r="M39" s="582"/>
      <c r="N39" s="582"/>
      <c r="O39" s="582"/>
      <c r="P39" s="582"/>
      <c r="Q39" s="582"/>
      <c r="R39" s="582"/>
      <c r="S39" s="582"/>
      <c r="T39" s="582"/>
      <c r="U39" s="582"/>
    </row>
    <row r="40" spans="2:21" ht="11.25" thickBot="1" x14ac:dyDescent="0.2">
      <c r="B40" s="643" t="s">
        <v>1095</v>
      </c>
      <c r="C40" s="632">
        <f>Model!$C$2-C39</f>
        <v>-18094.32728301741</v>
      </c>
      <c r="I40" s="634">
        <f>I42*$C$7</f>
        <v>111109.46382790226</v>
      </c>
    </row>
    <row r="41" spans="2:21" ht="10.5" x14ac:dyDescent="0.15">
      <c r="E41" s="599" t="s">
        <v>1082</v>
      </c>
      <c r="F41" s="600" t="s">
        <v>1083</v>
      </c>
      <c r="G41" s="601">
        <v>6</v>
      </c>
      <c r="H41" s="601">
        <v>7</v>
      </c>
      <c r="I41" s="601">
        <v>8</v>
      </c>
      <c r="J41" s="601">
        <v>9</v>
      </c>
      <c r="K41" s="601">
        <v>10</v>
      </c>
      <c r="L41" s="601">
        <v>11</v>
      </c>
      <c r="M41" s="601">
        <v>12</v>
      </c>
      <c r="N41" s="601">
        <v>13</v>
      </c>
      <c r="O41" s="601">
        <v>14</v>
      </c>
      <c r="P41" s="602">
        <v>15</v>
      </c>
    </row>
    <row r="42" spans="2:21" ht="10.5" x14ac:dyDescent="0.15">
      <c r="B42" s="580"/>
      <c r="C42" s="580"/>
      <c r="D42" s="621">
        <f>P42*$C$7</f>
        <v>148711.3879870174</v>
      </c>
      <c r="E42" s="603" t="s">
        <v>1084</v>
      </c>
      <c r="F42" s="604">
        <f>C33</f>
        <v>0.15</v>
      </c>
      <c r="G42" s="605">
        <f>NPV(F42,G36:L36)</f>
        <v>5124.1842141020506</v>
      </c>
      <c r="H42" s="605">
        <f>NPV(F42,G36:M36)</f>
        <v>5678.0697285972255</v>
      </c>
      <c r="I42" s="605">
        <f>NPV(F42,G36:N36)</f>
        <v>6172.7479904390148</v>
      </c>
      <c r="J42" s="605">
        <f>NPV(F42,G36:O36)</f>
        <v>6614.5442214287168</v>
      </c>
      <c r="K42" s="605">
        <f>NPV(F42,G36:P36)</f>
        <v>7009.1082601224434</v>
      </c>
      <c r="L42" s="605">
        <f>NPV(F42,G36:Q36)</f>
        <v>7361.4866431904684</v>
      </c>
      <c r="M42" s="605">
        <f>NPV(F42,G36:R36)</f>
        <v>7504.8698832625651</v>
      </c>
      <c r="N42" s="605">
        <f>NPV(F42,G36:S36)</f>
        <v>7785.9184455590766</v>
      </c>
      <c r="O42" s="605">
        <f>NPV(F42,G36:T36)</f>
        <v>8036.9114503529154</v>
      </c>
      <c r="P42" s="606">
        <f>NPV(F42,G36:U36)</f>
        <v>8261.743777056523</v>
      </c>
      <c r="Q42" s="623"/>
    </row>
    <row r="43" spans="2:21" ht="10.5" x14ac:dyDescent="0.15">
      <c r="B43" s="580"/>
      <c r="C43" s="580"/>
      <c r="E43" s="603" t="s">
        <v>1085</v>
      </c>
      <c r="F43" s="604">
        <f>C34</f>
        <v>0.15</v>
      </c>
      <c r="G43" s="605">
        <f>NPV(F43,G37:L37)</f>
        <v>5199.2165327153016</v>
      </c>
      <c r="H43" s="605">
        <f>NPV(F43,G37:M37)</f>
        <v>5760.5374216742948</v>
      </c>
      <c r="I43" s="605">
        <f>NPV(F43,G37:N37)</f>
        <v>6261.8606776743991</v>
      </c>
      <c r="J43" s="605">
        <f>NPV(F43,G37:O37)</f>
        <v>6709.5955399433869</v>
      </c>
      <c r="K43" s="605">
        <f>NPV(F43,G37:P37)</f>
        <v>7109.4669334114114</v>
      </c>
      <c r="L43" s="605">
        <f>NPV(F43,G37:Q37)</f>
        <v>7466.5884994412254</v>
      </c>
      <c r="M43" s="605">
        <f>NPV(F43,G37:R37)</f>
        <v>7614.2107221262731</v>
      </c>
      <c r="N43" s="605">
        <f>NPV(F43,G37:S37)</f>
        <v>7899.0476631839811</v>
      </c>
      <c r="O43" s="605">
        <f>NPV(F43,G37:T37)</f>
        <v>8153.4263420767002</v>
      </c>
      <c r="P43" s="606">
        <f>NPV(F43,G37:U37)</f>
        <v>8380.6016985824481</v>
      </c>
      <c r="Q43" s="623"/>
    </row>
    <row r="44" spans="2:21" ht="10.5" x14ac:dyDescent="0.15">
      <c r="B44" s="633"/>
      <c r="E44" s="603" t="s">
        <v>1086</v>
      </c>
      <c r="F44" s="604">
        <f>C35</f>
        <v>0.15</v>
      </c>
      <c r="G44" s="605">
        <f>NPV(F44,G38:L38)</f>
        <v>5221.2841386436976</v>
      </c>
      <c r="H44" s="605">
        <f>NPV(F44,G38:M38)</f>
        <v>5785.4872795015872</v>
      </c>
      <c r="I44" s="605">
        <f>NPV(F44,G38:N38)</f>
        <v>6289.3864040237349</v>
      </c>
      <c r="J44" s="605">
        <f>NPV(F44,G38:O38)</f>
        <v>6739.423319990874</v>
      </c>
      <c r="K44" s="605">
        <f>NPV(F44,G38:P38)</f>
        <v>7141.3520588489346</v>
      </c>
      <c r="L44" s="605">
        <f>NPV(F44,G38:Q38)</f>
        <v>7500.3122744538241</v>
      </c>
      <c r="M44" s="605">
        <f>NPV(F44,G38:R38)</f>
        <v>7649.5776982641182</v>
      </c>
      <c r="N44" s="605">
        <f>NPV(F44,G38:S38)</f>
        <v>7935.8831681674574</v>
      </c>
      <c r="O44" s="605">
        <f>NPV(F44,G38:T38)</f>
        <v>8191.5742712895171</v>
      </c>
      <c r="P44" s="606">
        <f>NPV(F44,G38:U38)</f>
        <v>8419.922541329026</v>
      </c>
      <c r="Q44" s="623"/>
    </row>
    <row r="45" spans="2:21" ht="10.5" x14ac:dyDescent="0.15">
      <c r="E45" s="607" t="s">
        <v>1087</v>
      </c>
      <c r="F45" s="608"/>
      <c r="G45" s="608"/>
      <c r="H45" s="608"/>
      <c r="I45" s="608"/>
      <c r="J45" s="608"/>
      <c r="K45" s="608"/>
      <c r="L45" s="608"/>
      <c r="M45" s="608"/>
      <c r="N45" s="608"/>
      <c r="O45" s="609"/>
      <c r="P45" s="610"/>
      <c r="Q45" s="623"/>
    </row>
    <row r="46" spans="2:21" ht="10.5" x14ac:dyDescent="0.15">
      <c r="D46" s="621">
        <f>P46*$C$7</f>
        <v>128199.47240260123</v>
      </c>
      <c r="E46" s="611" t="s">
        <v>1088</v>
      </c>
      <c r="F46" s="612">
        <f>F42</f>
        <v>0.15</v>
      </c>
      <c r="G46" s="613">
        <f t="shared" ref="G46:P48" si="22">G42/(1+$C$8)</f>
        <v>4417.4001845707335</v>
      </c>
      <c r="H46" s="613">
        <f t="shared" si="22"/>
        <v>4894.8876970665742</v>
      </c>
      <c r="I46" s="613">
        <f t="shared" si="22"/>
        <v>5321.3344745163922</v>
      </c>
      <c r="J46" s="613">
        <f t="shared" si="22"/>
        <v>5702.1932943351012</v>
      </c>
      <c r="K46" s="613">
        <f t="shared" si="22"/>
        <v>6042.3347070021064</v>
      </c>
      <c r="L46" s="613">
        <f t="shared" si="22"/>
        <v>6346.109175164197</v>
      </c>
      <c r="M46" s="613">
        <f t="shared" si="22"/>
        <v>6469.7154166056598</v>
      </c>
      <c r="N46" s="613">
        <f t="shared" si="22"/>
        <v>6711.9986599647218</v>
      </c>
      <c r="O46" s="613">
        <f t="shared" si="22"/>
        <v>6928.3719399594102</v>
      </c>
      <c r="P46" s="614">
        <f t="shared" si="22"/>
        <v>7122.1929112556236</v>
      </c>
      <c r="Q46" s="623"/>
    </row>
    <row r="47" spans="2:21" ht="10.5" x14ac:dyDescent="0.15">
      <c r="E47" s="611" t="s">
        <v>1089</v>
      </c>
      <c r="F47" s="612">
        <f>F43</f>
        <v>0.15</v>
      </c>
      <c r="G47" s="613">
        <f t="shared" si="22"/>
        <v>4482.0832178580185</v>
      </c>
      <c r="H47" s="613">
        <f t="shared" si="22"/>
        <v>4965.9805359261163</v>
      </c>
      <c r="I47" s="613">
        <f t="shared" si="22"/>
        <v>5398.1557566158617</v>
      </c>
      <c r="J47" s="613">
        <f t="shared" si="22"/>
        <v>5784.1340861580929</v>
      </c>
      <c r="K47" s="613">
        <f t="shared" si="22"/>
        <v>6128.8508046650104</v>
      </c>
      <c r="L47" s="613">
        <f t="shared" si="22"/>
        <v>6436.7142236562295</v>
      </c>
      <c r="M47" s="613">
        <f t="shared" si="22"/>
        <v>6563.9747604536842</v>
      </c>
      <c r="N47" s="613">
        <f t="shared" si="22"/>
        <v>6809.5238475723982</v>
      </c>
      <c r="O47" s="613">
        <f t="shared" si="22"/>
        <v>7028.8158121350871</v>
      </c>
      <c r="P47" s="614">
        <f t="shared" si="22"/>
        <v>7224.6566367090072</v>
      </c>
      <c r="Q47" s="623"/>
    </row>
    <row r="48" spans="2:21" ht="11.25" thickBot="1" x14ac:dyDescent="0.2">
      <c r="E48" s="615" t="s">
        <v>1090</v>
      </c>
      <c r="F48" s="616">
        <f>F44</f>
        <v>0.15</v>
      </c>
      <c r="G48" s="617">
        <f t="shared" si="22"/>
        <v>4501.1070160721538</v>
      </c>
      <c r="H48" s="617">
        <f t="shared" si="22"/>
        <v>4987.4890340530928</v>
      </c>
      <c r="I48" s="617">
        <f t="shared" si="22"/>
        <v>5421.8848310549447</v>
      </c>
      <c r="J48" s="617">
        <f t="shared" si="22"/>
        <v>5809.8476896473057</v>
      </c>
      <c r="K48" s="617">
        <f t="shared" si="22"/>
        <v>6156.3379817663235</v>
      </c>
      <c r="L48" s="617">
        <f t="shared" si="22"/>
        <v>6465.786443494676</v>
      </c>
      <c r="M48" s="617">
        <f t="shared" si="22"/>
        <v>6594.4635329863095</v>
      </c>
      <c r="N48" s="617">
        <f t="shared" si="22"/>
        <v>6841.2785932478082</v>
      </c>
      <c r="O48" s="617">
        <f t="shared" si="22"/>
        <v>7061.7019580082051</v>
      </c>
      <c r="P48" s="618">
        <f t="shared" si="22"/>
        <v>7258.553914938816</v>
      </c>
      <c r="Q48" s="623"/>
    </row>
    <row r="49" spans="4:21" ht="15" customHeight="1" x14ac:dyDescent="0.15">
      <c r="D49" s="621">
        <f>D42-D46</f>
        <v>20511.915584416172</v>
      </c>
    </row>
    <row r="51" spans="4:21" ht="10.5" x14ac:dyDescent="0.15">
      <c r="E51" s="580"/>
      <c r="F51" s="619"/>
      <c r="G51" s="619"/>
      <c r="H51" s="619"/>
      <c r="I51" s="619"/>
      <c r="J51" s="619"/>
      <c r="K51" s="619"/>
      <c r="L51" s="619"/>
      <c r="M51" s="619"/>
      <c r="N51" s="619"/>
    </row>
    <row r="52" spans="4:21" ht="10.5" x14ac:dyDescent="0.15">
      <c r="E52" s="580"/>
      <c r="F52" s="619"/>
      <c r="G52" s="619">
        <f>G36*$C$7</f>
        <v>23079.016950647645</v>
      </c>
      <c r="H52" s="619">
        <f t="shared" ref="H52:U52" si="23">H36*$C$7</f>
        <v>23705.248416112874</v>
      </c>
      <c r="I52" s="619">
        <f t="shared" si="23"/>
        <v>24348.287869902077</v>
      </c>
      <c r="J52" s="619">
        <f t="shared" si="23"/>
        <v>25008.578895091214</v>
      </c>
      <c r="K52" s="619">
        <f t="shared" si="23"/>
        <v>25686.576469498861</v>
      </c>
      <c r="L52" s="619">
        <f t="shared" si="23"/>
        <v>25821.005202017055</v>
      </c>
      <c r="M52" s="619">
        <f t="shared" si="23"/>
        <v>26520.23664109486</v>
      </c>
      <c r="N52" s="619">
        <f t="shared" si="23"/>
        <v>27238.178026352114</v>
      </c>
      <c r="O52" s="619">
        <f t="shared" si="23"/>
        <v>27975.320763448526</v>
      </c>
      <c r="P52" s="619">
        <f>P36*$C$7</f>
        <v>28732.168781452045</v>
      </c>
      <c r="Q52" s="619">
        <f t="shared" si="23"/>
        <v>29509.238835803815</v>
      </c>
      <c r="R52" s="619">
        <f t="shared" si="23"/>
        <v>13808.451515740075</v>
      </c>
      <c r="S52" s="619">
        <f t="shared" si="23"/>
        <v>31126.178071452119</v>
      </c>
      <c r="T52" s="619">
        <f t="shared" si="23"/>
        <v>31967.147715591127</v>
      </c>
      <c r="U52" s="619">
        <f t="shared" si="23"/>
        <v>32930.540975073854</v>
      </c>
    </row>
    <row r="53" spans="4:21" ht="10.5" x14ac:dyDescent="0.15">
      <c r="E53" s="580"/>
      <c r="F53" s="619"/>
      <c r="G53" s="619"/>
      <c r="H53" s="619"/>
      <c r="I53" s="619"/>
      <c r="J53" s="619"/>
      <c r="K53" s="619"/>
      <c r="L53" s="619"/>
      <c r="M53" s="619"/>
      <c r="N53" s="619"/>
    </row>
    <row r="54" spans="4:21" ht="10.5" x14ac:dyDescent="0.15">
      <c r="L54" s="619"/>
    </row>
    <row r="55" spans="4:21" ht="10.5" x14ac:dyDescent="0.15">
      <c r="L55" s="619"/>
    </row>
    <row r="56" spans="4:21" ht="10.5" x14ac:dyDescent="0.15">
      <c r="L56" s="619"/>
    </row>
  </sheetData>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E20"/>
  <sheetViews>
    <sheetView zoomScaleNormal="100" zoomScalePageLayoutView="150" workbookViewId="0">
      <pane xSplit="2" ySplit="4" topLeftCell="C5" activePane="bottomRight" state="frozen"/>
      <selection activeCell="R7" sqref="R7"/>
      <selection pane="topRight" activeCell="R7" sqref="R7"/>
      <selection pane="bottomLeft" activeCell="R7" sqref="R7"/>
      <selection pane="bottomRight" activeCell="C5" sqref="C5"/>
    </sheetView>
  </sheetViews>
  <sheetFormatPr defaultColWidth="11.42578125" defaultRowHeight="10.5" x14ac:dyDescent="0.15"/>
  <cols>
    <col min="1" max="1" width="8.42578125" style="24" bestFit="1" customWidth="1"/>
    <col min="2" max="2" width="5.28515625" style="24" bestFit="1" customWidth="1"/>
    <col min="3" max="3" width="9.85546875" style="25" bestFit="1" customWidth="1"/>
    <col min="4" max="4" width="10.42578125" style="25" bestFit="1" customWidth="1"/>
    <col min="5" max="7" width="10.42578125" style="56" customWidth="1"/>
    <col min="8" max="9" width="9" style="56" bestFit="1" customWidth="1"/>
    <col min="10" max="10" width="10" style="24" bestFit="1" customWidth="1"/>
    <col min="11" max="11" width="2.7109375" style="24" customWidth="1"/>
    <col min="12" max="12" width="11.7109375" style="27" customWidth="1"/>
    <col min="13" max="13" width="8" style="27" customWidth="1"/>
    <col min="14" max="14" width="9.85546875" style="27" bestFit="1" customWidth="1"/>
    <col min="15" max="15" width="9.85546875" style="58" bestFit="1" customWidth="1"/>
    <col min="16" max="16" width="2.7109375" style="27" customWidth="1"/>
    <col min="17" max="17" width="9.140625" style="186" customWidth="1"/>
    <col min="18" max="18" width="10.42578125" style="58" bestFit="1" customWidth="1"/>
    <col min="19" max="21" width="10.42578125" style="58" customWidth="1"/>
    <col min="22" max="22" width="8.42578125" style="58" customWidth="1"/>
    <col min="23" max="23" width="9" style="58" bestFit="1" customWidth="1"/>
    <col min="24" max="24" width="9.28515625" style="27" bestFit="1" customWidth="1"/>
    <col min="25" max="25" width="2.7109375" style="58" customWidth="1"/>
    <col min="26" max="26" width="10.7109375" style="24" customWidth="1"/>
    <col min="27" max="27" width="7.5703125" style="55" bestFit="1" customWidth="1"/>
    <col min="28" max="28" width="9.85546875" style="55" bestFit="1" customWidth="1"/>
    <col min="29" max="29" width="2.7109375" style="24" customWidth="1"/>
    <col min="30" max="30" width="12.5703125" style="55" customWidth="1"/>
    <col min="31" max="32" width="9.140625" style="24" bestFit="1" customWidth="1"/>
    <col min="33" max="33" width="2.7109375" style="55" customWidth="1"/>
    <col min="34" max="34" width="10.140625" style="55" bestFit="1" customWidth="1"/>
    <col min="35" max="35" width="13.42578125" style="55" bestFit="1" customWidth="1"/>
    <col min="36" max="36" width="4.7109375" style="26" customWidth="1"/>
    <col min="37" max="39" width="11.42578125" style="57"/>
    <col min="40" max="40" width="2.7109375" style="57" customWidth="1"/>
    <col min="41" max="41" width="9.85546875" style="57" bestFit="1" customWidth="1"/>
    <col min="42" max="42" width="12" style="57" customWidth="1"/>
    <col min="43" max="43" width="10.7109375" style="26" bestFit="1" customWidth="1"/>
    <col min="44" max="44" width="11.28515625" style="26" bestFit="1" customWidth="1"/>
    <col min="45" max="45" width="11" style="57" bestFit="1" customWidth="1"/>
    <col min="46" max="46" width="10.85546875" style="26" customWidth="1"/>
    <col min="47" max="47" width="10.85546875" style="57" customWidth="1"/>
    <col min="48" max="48" width="10.7109375" style="26" bestFit="1" customWidth="1"/>
    <col min="49" max="49" width="11.28515625" style="26" bestFit="1" customWidth="1"/>
    <col min="50" max="50" width="11" style="57" bestFit="1" customWidth="1"/>
    <col min="51" max="51" width="10.85546875" style="26" customWidth="1"/>
    <col min="52" max="52" width="3" style="26" bestFit="1" customWidth="1"/>
    <col min="53" max="53" width="2.7109375" style="57" customWidth="1"/>
    <col min="54" max="54" width="9" style="26" bestFit="1" customWidth="1"/>
    <col min="55" max="16384" width="11.42578125" style="26"/>
  </cols>
  <sheetData>
    <row r="1" spans="1:57" s="57" customFormat="1" ht="13.5" customHeight="1" thickBot="1" x14ac:dyDescent="0.25">
      <c r="A1" s="55"/>
      <c r="B1" s="55"/>
      <c r="C1" s="56"/>
      <c r="D1" s="861" t="s">
        <v>37</v>
      </c>
      <c r="E1" s="862"/>
      <c r="F1" s="862"/>
      <c r="G1" s="862"/>
      <c r="H1" s="862"/>
      <c r="I1" s="862"/>
      <c r="J1" s="863"/>
      <c r="K1" s="55"/>
      <c r="L1" s="864" t="s">
        <v>211</v>
      </c>
      <c r="M1" s="865"/>
      <c r="N1" s="865"/>
      <c r="O1" s="866"/>
      <c r="P1" s="58"/>
      <c r="Q1" s="861" t="s">
        <v>38</v>
      </c>
      <c r="R1" s="869"/>
      <c r="S1" s="869"/>
      <c r="T1" s="869"/>
      <c r="U1" s="869"/>
      <c r="V1" s="869"/>
      <c r="W1" s="869"/>
      <c r="X1" s="870"/>
      <c r="Y1" s="58"/>
      <c r="Z1" s="864" t="s">
        <v>467</v>
      </c>
      <c r="AA1" s="865"/>
      <c r="AB1" s="866"/>
      <c r="AC1" s="55"/>
      <c r="AD1" s="864" t="s">
        <v>466</v>
      </c>
      <c r="AE1" s="865"/>
      <c r="AF1" s="866"/>
      <c r="AG1" s="31"/>
      <c r="AH1" s="867" t="s">
        <v>490</v>
      </c>
      <c r="AI1" s="868"/>
      <c r="AK1" s="223" t="str">
        <f>"Tarifa "&amp;CFE_Limite</f>
        <v>Tarifa 1</v>
      </c>
      <c r="AL1" s="223" t="s">
        <v>114</v>
      </c>
      <c r="AM1" s="223" t="s">
        <v>56</v>
      </c>
      <c r="AN1" s="179"/>
      <c r="AO1" s="223" t="s">
        <v>573</v>
      </c>
      <c r="AP1" s="701" t="str">
        <f>"Tarifa "&amp;CFE_Limite&amp;" - TEMPORADA DE VERANO"</f>
        <v>Tarifa 1 - TEMPORADA DE VERANO</v>
      </c>
      <c r="AQ1" s="702"/>
      <c r="AR1" s="702"/>
      <c r="AS1" s="702"/>
      <c r="AT1" s="703"/>
      <c r="AU1" s="701" t="str">
        <f>"Tarifa "&amp;CFE_Limite&amp;" - TEMPORADA FUERA DE VERANO"</f>
        <v>Tarifa 1 - TEMPORADA FUERA DE VERANO</v>
      </c>
      <c r="AV1" s="702"/>
      <c r="AW1" s="702"/>
      <c r="AX1" s="702"/>
      <c r="AY1" s="703"/>
      <c r="AZ1" s="57">
        <f>MATCH(AP1,CFE_History_Tarifa1!$B$1:$B$98,0)</f>
        <v>2</v>
      </c>
      <c r="BB1" s="701" t="s">
        <v>56</v>
      </c>
      <c r="BC1" s="702"/>
      <c r="BD1" s="702"/>
      <c r="BE1" s="703"/>
    </row>
    <row r="2" spans="1:57" s="22" customFormat="1" ht="31.5" customHeight="1" thickTop="1" x14ac:dyDescent="0.15">
      <c r="A2" s="183"/>
      <c r="B2" s="183"/>
      <c r="C2" s="173" t="s">
        <v>146</v>
      </c>
      <c r="D2" s="172" t="s">
        <v>204</v>
      </c>
      <c r="E2" s="171" t="s">
        <v>205</v>
      </c>
      <c r="F2" s="171" t="s">
        <v>206</v>
      </c>
      <c r="G2" s="171" t="s">
        <v>210</v>
      </c>
      <c r="H2" s="171" t="s">
        <v>207</v>
      </c>
      <c r="I2" s="171" t="s">
        <v>208</v>
      </c>
      <c r="J2" s="170" t="s">
        <v>16</v>
      </c>
      <c r="K2" s="183"/>
      <c r="L2" s="120" t="s">
        <v>212</v>
      </c>
      <c r="M2" s="121" t="s">
        <v>209</v>
      </c>
      <c r="N2" s="121" t="s">
        <v>147</v>
      </c>
      <c r="O2" s="122" t="s">
        <v>187</v>
      </c>
      <c r="P2" s="183"/>
      <c r="Q2" s="172" t="s">
        <v>166</v>
      </c>
      <c r="R2" s="171" t="s">
        <v>204</v>
      </c>
      <c r="S2" s="171" t="s">
        <v>205</v>
      </c>
      <c r="T2" s="171" t="s">
        <v>206</v>
      </c>
      <c r="U2" s="171" t="s">
        <v>210</v>
      </c>
      <c r="V2" s="171" t="s">
        <v>207</v>
      </c>
      <c r="W2" s="171" t="s">
        <v>208</v>
      </c>
      <c r="X2" s="170" t="s">
        <v>16</v>
      </c>
      <c r="Y2" s="183"/>
      <c r="Z2" s="120" t="s">
        <v>463</v>
      </c>
      <c r="AA2" s="121" t="s">
        <v>464</v>
      </c>
      <c r="AB2" s="122" t="s">
        <v>462</v>
      </c>
      <c r="AC2" s="183"/>
      <c r="AD2" s="120" t="s">
        <v>465</v>
      </c>
      <c r="AE2" s="121" t="s">
        <v>213</v>
      </c>
      <c r="AF2" s="122" t="s">
        <v>214</v>
      </c>
      <c r="AG2" s="138"/>
      <c r="AH2" s="138" t="str">
        <f>X2&amp;" (Year 1)"</f>
        <v>CFE Bill (Year 1)</v>
      </c>
      <c r="AI2" s="139" t="str">
        <f>AD2&amp;" (Year 1)"</f>
        <v>CFE + MySOL Bill (Year 1)</v>
      </c>
      <c r="AJ2" s="57"/>
      <c r="AK2" s="855" t="s">
        <v>285</v>
      </c>
      <c r="AL2" s="856"/>
      <c r="AM2" s="857"/>
      <c r="AN2" s="179"/>
      <c r="AO2" s="853" t="s">
        <v>284</v>
      </c>
      <c r="AP2" s="209" t="s">
        <v>283</v>
      </c>
      <c r="AQ2" s="209" t="s">
        <v>266</v>
      </c>
      <c r="AR2" s="210" t="s">
        <v>267</v>
      </c>
      <c r="AS2" s="210" t="s">
        <v>268</v>
      </c>
      <c r="AT2" s="211" t="s">
        <v>245</v>
      </c>
      <c r="AU2" s="238" t="s">
        <v>283</v>
      </c>
      <c r="AV2" s="239" t="s">
        <v>266</v>
      </c>
      <c r="AW2" s="210" t="s">
        <v>267</v>
      </c>
      <c r="AX2" s="210" t="s">
        <v>268</v>
      </c>
      <c r="AY2" s="211" t="s">
        <v>245</v>
      </c>
      <c r="AZ2" s="57">
        <f>MATCH(AU1,CFE_History_Tarifa1!$B$1:$B$98,0)</f>
        <v>9</v>
      </c>
      <c r="BA2" s="57"/>
      <c r="BB2" s="238" t="s">
        <v>283</v>
      </c>
      <c r="BC2" s="239" t="s">
        <v>266</v>
      </c>
      <c r="BD2" s="210" t="s">
        <v>267</v>
      </c>
      <c r="BE2" s="211" t="s">
        <v>245</v>
      </c>
    </row>
    <row r="3" spans="1:57" s="182" customFormat="1" ht="21" x14ac:dyDescent="0.15">
      <c r="A3" s="183"/>
      <c r="B3" s="143"/>
      <c r="C3" s="142"/>
      <c r="D3" s="141"/>
      <c r="E3" s="140"/>
      <c r="F3" s="140"/>
      <c r="G3" s="140"/>
      <c r="H3" s="140"/>
      <c r="I3" s="140"/>
      <c r="J3" s="139" t="s">
        <v>128</v>
      </c>
      <c r="K3" s="143"/>
      <c r="L3" s="138"/>
      <c r="M3" s="137"/>
      <c r="N3" s="137"/>
      <c r="O3" s="139"/>
      <c r="P3" s="143"/>
      <c r="Q3" s="141"/>
      <c r="R3" s="140"/>
      <c r="S3" s="140"/>
      <c r="T3" s="140"/>
      <c r="U3" s="140"/>
      <c r="V3" s="140"/>
      <c r="W3" s="140"/>
      <c r="X3" s="139" t="s">
        <v>128</v>
      </c>
      <c r="Y3" s="143"/>
      <c r="Z3" s="138"/>
      <c r="AA3" s="137"/>
      <c r="AB3" s="139"/>
      <c r="AC3" s="143"/>
      <c r="AD3" s="138" t="s">
        <v>468</v>
      </c>
      <c r="AE3" s="137" t="s">
        <v>159</v>
      </c>
      <c r="AF3" s="139" t="s">
        <v>174</v>
      </c>
      <c r="AG3" s="138"/>
      <c r="AH3" s="336" t="str">
        <f>X3&amp;" (Año 1)"</f>
        <v>Recibo CFE (Año 1)</v>
      </c>
      <c r="AI3" s="337" t="str">
        <f>AD3&amp;" (Año 1)"</f>
        <v>Recibo CFE + MySOL (Año 1)</v>
      </c>
      <c r="AK3" s="858"/>
      <c r="AL3" s="859"/>
      <c r="AM3" s="860"/>
      <c r="AN3" s="179"/>
      <c r="AO3" s="854"/>
      <c r="AP3" s="233" t="s">
        <v>281</v>
      </c>
      <c r="AQ3" s="212">
        <f>INDEX(CFE_History_Tarifa1!$A$1:$DV$98,$AZ$1+2,1)</f>
        <v>75</v>
      </c>
      <c r="AR3" s="213">
        <f>INDEX(CFE_History_Tarifa1!$A$1:$DV$98,$AZ$1+3,1)</f>
        <v>65</v>
      </c>
      <c r="AS3" s="213">
        <f>INDEX(CFE_History_Tarifa1!$A$1:$DV$98,$AZ$1+4,1)</f>
        <v>0</v>
      </c>
      <c r="AT3" s="214">
        <f>INDEX(CFE_History_Tarifa1!$A$1:$DV$98,$AZ$1+5,1)</f>
        <v>0</v>
      </c>
      <c r="AU3" s="240"/>
      <c r="AV3" s="241">
        <f>INDEX(CFE_History_Tarifa1!$A$1:$DV$98,$AZ$2+2,1)</f>
        <v>75</v>
      </c>
      <c r="AW3" s="213">
        <f>INDEX(CFE_History_Tarifa1!$A$1:$DV$98,$AZ$2+3,1)</f>
        <v>65</v>
      </c>
      <c r="AX3" s="213">
        <f>INDEX(CFE_History_Tarifa1!$A$1:$DV$98,$AZ$2+4,1)</f>
        <v>0</v>
      </c>
      <c r="AY3" s="214">
        <f>INDEX(CFE_History_Tarifa1!$A$1:$DV$98,$AZ$2+5,1)</f>
        <v>0</v>
      </c>
      <c r="AZ3" s="57">
        <f>MATCH(CFE_RatePeriod,CFE_History_Tarifa1!$A$1:$DV$1,0)</f>
        <v>15</v>
      </c>
      <c r="BA3" s="57"/>
      <c r="BB3" s="240" t="s">
        <v>281</v>
      </c>
      <c r="BC3" s="241">
        <f>INDEX(CFE_History_Tarifa2!$A$1:$DV$9,5,1)</f>
        <v>50</v>
      </c>
      <c r="BD3" s="213">
        <f>INDEX(CFE_History_Tarifa2!$A$1:$DV$9,6,1)</f>
        <v>50</v>
      </c>
      <c r="BE3" s="214">
        <f>INDEX(CFE_History_Tarifa2!$A$1:$DV$9,7,1)</f>
        <v>0</v>
      </c>
    </row>
    <row r="4" spans="1:57" s="23" customFormat="1" x14ac:dyDescent="0.15">
      <c r="A4" s="184"/>
      <c r="B4" s="184" t="s">
        <v>18</v>
      </c>
      <c r="C4" s="169" t="s">
        <v>149</v>
      </c>
      <c r="D4" s="168" t="s">
        <v>150</v>
      </c>
      <c r="E4" s="167" t="s">
        <v>133</v>
      </c>
      <c r="F4" s="167" t="s">
        <v>133</v>
      </c>
      <c r="G4" s="167" t="s">
        <v>133</v>
      </c>
      <c r="H4" s="167" t="s">
        <v>133</v>
      </c>
      <c r="I4" s="167" t="s">
        <v>133</v>
      </c>
      <c r="J4" s="125" t="s">
        <v>133</v>
      </c>
      <c r="K4" s="184"/>
      <c r="L4" s="123" t="s">
        <v>149</v>
      </c>
      <c r="M4" s="124" t="s">
        <v>17</v>
      </c>
      <c r="N4" s="124" t="s">
        <v>17</v>
      </c>
      <c r="O4" s="125" t="s">
        <v>149</v>
      </c>
      <c r="P4" s="184"/>
      <c r="Q4" s="168"/>
      <c r="R4" s="167" t="s">
        <v>150</v>
      </c>
      <c r="S4" s="167" t="s">
        <v>133</v>
      </c>
      <c r="T4" s="167" t="s">
        <v>133</v>
      </c>
      <c r="U4" s="167" t="s">
        <v>133</v>
      </c>
      <c r="V4" s="167" t="s">
        <v>133</v>
      </c>
      <c r="W4" s="167" t="s">
        <v>133</v>
      </c>
      <c r="X4" s="125" t="s">
        <v>133</v>
      </c>
      <c r="Y4" s="184"/>
      <c r="Z4" s="123" t="s">
        <v>133</v>
      </c>
      <c r="AA4" s="124" t="s">
        <v>133</v>
      </c>
      <c r="AB4" s="125" t="s">
        <v>133</v>
      </c>
      <c r="AC4" s="184"/>
      <c r="AD4" s="123" t="s">
        <v>133</v>
      </c>
      <c r="AE4" s="124"/>
      <c r="AF4" s="125"/>
      <c r="AG4" s="334"/>
      <c r="AH4" s="333"/>
      <c r="AI4" s="335"/>
      <c r="AN4" s="179"/>
      <c r="AP4" s="234" t="s">
        <v>282</v>
      </c>
      <c r="AQ4" s="215">
        <f>INDEX(CFE_History_Tarifa1!$A$1:$DV$98,$AZ$1+2,$AZ$3)</f>
        <v>0.79300000000000004</v>
      </c>
      <c r="AR4" s="216">
        <f>INDEX(CFE_History_Tarifa1!$A$1:$DV$98,$AZ$1+3,$AZ$3)</f>
        <v>0.95599999999999996</v>
      </c>
      <c r="AS4" s="216">
        <f>INDEX(CFE_History_Tarifa1!$A$1:$DV$98,$AZ$1+4,$AZ$3)</f>
        <v>0</v>
      </c>
      <c r="AT4" s="217">
        <f>INDEX(CFE_History_Tarifa1!$A$1:$DV$98,$AZ$1+5,$AZ$3)</f>
        <v>2.802</v>
      </c>
      <c r="AU4" s="242"/>
      <c r="AV4" s="243">
        <f>INDEX(CFE_History_Tarifa1!$A$1:$DV$98,$AZ$2+2,$AZ$3)</f>
        <v>0.79300000000000004</v>
      </c>
      <c r="AW4" s="216">
        <f>INDEX(CFE_History_Tarifa1!$A$1:$DV$98,$AZ$2+3,$AZ$3)</f>
        <v>0.95599999999999996</v>
      </c>
      <c r="AX4" s="216">
        <f>INDEX(CFE_History_Tarifa1!$A$1:$DV$98,$AZ$2+4,$AZ$3)</f>
        <v>0</v>
      </c>
      <c r="AY4" s="217">
        <f>INDEX(CFE_History_Tarifa1!$A$1:$DV$98,$AZ$2+5,$AZ$3)</f>
        <v>2.802</v>
      </c>
      <c r="AZ4" s="57">
        <f>MATCH(CFE_RatePeriod,CFE_History_Tarifa2!$A$3:$DV$3,0)</f>
        <v>15</v>
      </c>
      <c r="BA4" s="57"/>
      <c r="BB4" s="242" t="s">
        <v>282</v>
      </c>
      <c r="BC4" s="243">
        <f>INDEX(CFE_History_Tarifa2!$A$1:$DV$9,5,$AZ$4)</f>
        <v>2.5492500000000002</v>
      </c>
      <c r="BD4" s="216">
        <f>INDEX(CFE_History_Tarifa2!$A$1:$DV$9,6,$AZ$4)</f>
        <v>3.0735833333333331</v>
      </c>
      <c r="BE4" s="217">
        <f>INDEX(CFE_History_Tarifa2!$A$1:$DV$9,7,$AZ$4)</f>
        <v>3.38775</v>
      </c>
    </row>
    <row r="5" spans="1:57" x14ac:dyDescent="0.15">
      <c r="A5" s="189">
        <f>DATE(2016,1,1)</f>
        <v>42370</v>
      </c>
      <c r="B5" s="190">
        <v>0</v>
      </c>
      <c r="C5" s="116"/>
      <c r="D5" s="117"/>
      <c r="E5" s="117"/>
      <c r="F5" s="117"/>
      <c r="G5" s="117"/>
      <c r="H5" s="117"/>
      <c r="I5" s="117"/>
      <c r="J5" s="132"/>
      <c r="K5" s="119"/>
      <c r="L5" s="184"/>
      <c r="M5" s="186"/>
      <c r="N5" s="191"/>
      <c r="O5" s="191"/>
      <c r="P5" s="184"/>
      <c r="Q5" s="184"/>
      <c r="R5" s="117"/>
      <c r="S5" s="117"/>
      <c r="T5" s="117"/>
      <c r="U5" s="117"/>
      <c r="V5" s="117"/>
      <c r="W5" s="117"/>
      <c r="X5" s="118"/>
      <c r="Y5" s="184"/>
      <c r="Z5" s="187"/>
      <c r="AA5" s="187"/>
      <c r="AB5" s="187"/>
      <c r="AC5" s="184"/>
      <c r="AD5" s="187"/>
      <c r="AE5" s="116"/>
      <c r="AF5" s="116"/>
      <c r="AG5" s="116"/>
      <c r="AH5" s="116"/>
      <c r="AI5" s="116"/>
      <c r="AN5" s="179"/>
      <c r="AV5" s="57"/>
      <c r="AW5" s="57"/>
      <c r="AY5" s="57"/>
      <c r="BC5" s="57"/>
      <c r="BD5" s="57"/>
      <c r="BE5" s="57"/>
    </row>
    <row r="6" spans="1:57" x14ac:dyDescent="0.15">
      <c r="A6" s="189">
        <f>DATE(YEAR(A5)+1,1,1)</f>
        <v>42736</v>
      </c>
      <c r="B6" s="190">
        <v>1</v>
      </c>
      <c r="C6" s="185">
        <f t="shared" ref="C6:C20" si="0">IF(ISNUMBER(CustUsage_kWhPerYear),CustUsage_kWhPerYear,0)</f>
        <v>6000</v>
      </c>
      <c r="D6" s="115">
        <f>CFE_RatePreTaxes</f>
        <v>4.2670833333333329</v>
      </c>
      <c r="E6" s="166">
        <f>C6*D6</f>
        <v>25602.499999999996</v>
      </c>
      <c r="F6" s="166">
        <f t="shared" ref="F6:F20" si="1">((CFE_CargoFijo)*((1+CFE_YrIncreasePct)^($B6-1))*12)</f>
        <v>1167.1000000000001</v>
      </c>
      <c r="G6" s="166">
        <f>E6+F6</f>
        <v>26769.599999999995</v>
      </c>
      <c r="H6" s="166">
        <f t="shared" ref="H6:H20" si="2">G6*DAP</f>
        <v>2676.9599999999996</v>
      </c>
      <c r="I6" s="166">
        <f t="shared" ref="I6:I20" si="3">G6*IVA</f>
        <v>4283.1359999999995</v>
      </c>
      <c r="J6" s="165">
        <f t="shared" ref="J6:J20" si="4">SUM(G6:I6)</f>
        <v>33729.695999999996</v>
      </c>
      <c r="K6" s="187"/>
      <c r="L6" s="126">
        <f t="shared" ref="L6:L20" si="5">Sys_kWhPerYear*M6</f>
        <v>5738.0070962362506</v>
      </c>
      <c r="M6" s="164">
        <v>1</v>
      </c>
      <c r="N6" s="164">
        <f t="shared" ref="N6:N20" si="6">L6/C6</f>
        <v>0.95633451603937514</v>
      </c>
      <c r="O6" s="127">
        <f>MAX(0,C6-L6)</f>
        <v>261.99290376374938</v>
      </c>
      <c r="P6" s="184"/>
      <c r="Q6" s="379" t="str">
        <f>CFE_RateCategory</f>
        <v>DAC</v>
      </c>
      <c r="R6" s="376">
        <f>IF(OR(Q6="DAC",Q6="Tarifa 1"),D6,BB6)</f>
        <v>4.2670833333333329</v>
      </c>
      <c r="S6" s="166">
        <f>IF(O6=0,0,O6*R6)</f>
        <v>1117.9455531018989</v>
      </c>
      <c r="T6" s="166">
        <f>F6</f>
        <v>1167.1000000000001</v>
      </c>
      <c r="U6" s="166">
        <f>S6+T6</f>
        <v>2285.0455531018988</v>
      </c>
      <c r="V6" s="166">
        <f t="shared" ref="V6:V20" si="7">U6*DAP</f>
        <v>228.50455531018989</v>
      </c>
      <c r="W6" s="166">
        <f t="shared" ref="W6:W20" si="8">U6*IVA</f>
        <v>365.6072884963038</v>
      </c>
      <c r="X6" s="165">
        <f t="shared" ref="X6:X20" si="9">SUM(U6:W6)</f>
        <v>2879.1573969083925</v>
      </c>
      <c r="Y6" s="184"/>
      <c r="Z6" s="163">
        <f>Sys_kWhPerYear*MySol_TotalRate</f>
        <v>21546.40791327033</v>
      </c>
      <c r="AA6" s="162">
        <f t="shared" ref="AA6:AA20" si="10">Z6*IVA</f>
        <v>3447.4252661232531</v>
      </c>
      <c r="AB6" s="161">
        <f>SUM(Z6:AA6)</f>
        <v>24993.833179393583</v>
      </c>
      <c r="AC6" s="184"/>
      <c r="AD6" s="163">
        <f>AB6+X6</f>
        <v>27872.990576301974</v>
      </c>
      <c r="AE6" s="162">
        <f t="shared" ref="AE6:AE20" si="11">J6-AD6</f>
        <v>5856.7054236980221</v>
      </c>
      <c r="AF6" s="160">
        <f t="shared" ref="AF6:AF20" si="12">AE6/J6</f>
        <v>0.17363647225572454</v>
      </c>
      <c r="AG6" s="263"/>
      <c r="AH6" s="263"/>
      <c r="AI6" s="263"/>
      <c r="AL6" s="373">
        <f>INDEX(CFE_History_DAC!$A$4:$O$37,MATCH(VLOOKUP(Inputs!$B$19,ListData!$B$2:$C$8,2,FALSE),CFE_History_DAC!$A$4:$A$37,0)+2,MATCH(CFE_RatePeriod,CFE_History_DAC!$A$3:$O$3,0))</f>
        <v>4.2670833333333329</v>
      </c>
      <c r="AM6" s="373">
        <f t="shared" ref="AM6:AM20" si="13">BB6*((1+CFE_YrIncreasePct)^(B6-1))</f>
        <v>2.5492500000000002</v>
      </c>
      <c r="AN6" s="179"/>
      <c r="AV6" s="57"/>
      <c r="AW6" s="57"/>
      <c r="AY6" s="57"/>
      <c r="BB6" s="244">
        <f>IF($O6=0,BC$4,SUM(BC6:BE6)/$O6)</f>
        <v>2.5492500000000002</v>
      </c>
      <c r="BC6" s="250">
        <f>MIN($O6,BC$3*12)*BC$4</f>
        <v>667.88540991973821</v>
      </c>
      <c r="BD6" s="218">
        <f>MAX(0,MIN($O6-SUM($BC$3:BC$3)*12,BD$3*12))*BD$4</f>
        <v>0</v>
      </c>
      <c r="BE6" s="219">
        <f>MAX(0,$O6-SUM($BC$3:BD$3)*12)*BE$4</f>
        <v>0</v>
      </c>
    </row>
    <row r="7" spans="1:57" x14ac:dyDescent="0.15">
      <c r="A7" s="189">
        <f t="shared" ref="A7:A20" si="14">DATE(YEAR(A6)+1,1,1)</f>
        <v>43101</v>
      </c>
      <c r="B7" s="190">
        <v>2</v>
      </c>
      <c r="C7" s="185">
        <f t="shared" si="0"/>
        <v>6000</v>
      </c>
      <c r="D7" s="159">
        <f t="shared" ref="D7:D20" si="15">D6*(1+CFE_YrIncreasePct)</f>
        <v>4.6084499999999995</v>
      </c>
      <c r="E7" s="158">
        <f t="shared" ref="E7:E20" si="16">C7*D7</f>
        <v>27650.699999999997</v>
      </c>
      <c r="F7" s="158">
        <f t="shared" si="1"/>
        <v>1260.4680000000003</v>
      </c>
      <c r="G7" s="158">
        <f t="shared" ref="G7:G20" si="17">E7+F7</f>
        <v>28911.167999999998</v>
      </c>
      <c r="H7" s="158">
        <f t="shared" si="2"/>
        <v>2891.1167999999998</v>
      </c>
      <c r="I7" s="158">
        <f t="shared" si="3"/>
        <v>4625.7868799999997</v>
      </c>
      <c r="J7" s="157">
        <f t="shared" si="4"/>
        <v>36428.071679999994</v>
      </c>
      <c r="K7" s="190"/>
      <c r="L7" s="128">
        <f t="shared" si="5"/>
        <v>5697.8410465625966</v>
      </c>
      <c r="M7" s="156">
        <f t="shared" ref="M7:M20" si="18">M6*(1-Sys_YrDegradationRate)</f>
        <v>0.99299999999999999</v>
      </c>
      <c r="N7" s="156">
        <f t="shared" si="6"/>
        <v>0.94964017442709947</v>
      </c>
      <c r="O7" s="129">
        <f t="shared" ref="O7:O20" si="19">MAX(0,C7-L7)</f>
        <v>302.1589534374034</v>
      </c>
      <c r="P7" s="184"/>
      <c r="Q7" s="380" t="str">
        <f>IF(OR(CFE_RateCategory="DAC",CFE_RateCategory="Tarifa 1"),IF(O6&lt;VLOOKUP(CFE_Limite,ListData!$B$30:$D$36,3,FALSE),"Tarifa "&amp;CFE_Limite,"DAC"),"Tarifa 2")</f>
        <v>Tarifa 1</v>
      </c>
      <c r="R7" s="377">
        <f>IF(O7=0,AK7,HLOOKUP($Q7,$AK$1:$AM$20,ROW(R7),FALSE))</f>
        <v>0.82472000000000012</v>
      </c>
      <c r="S7" s="158">
        <f t="shared" ref="S7:S20" si="20">IF(O7=0,0,O7*R7)</f>
        <v>249.19653207889536</v>
      </c>
      <c r="T7" s="158">
        <f t="shared" ref="T7:T20" si="21">F7</f>
        <v>1260.4680000000003</v>
      </c>
      <c r="U7" s="158">
        <f t="shared" ref="U7:U20" si="22">S7+T7</f>
        <v>1509.6645320788957</v>
      </c>
      <c r="V7" s="158">
        <f t="shared" si="7"/>
        <v>150.96645320788957</v>
      </c>
      <c r="W7" s="158">
        <f t="shared" si="8"/>
        <v>241.54632513262331</v>
      </c>
      <c r="X7" s="157">
        <f t="shared" si="9"/>
        <v>1902.1773104194085</v>
      </c>
      <c r="Y7" s="184"/>
      <c r="Z7" s="155">
        <f t="shared" ref="Z7:Z20" si="23">IF(B7&gt;Cust_LeaseTermYears,0,Z6*(1+FinYrIncr))</f>
        <v>22300.53219023479</v>
      </c>
      <c r="AA7" s="154">
        <f t="shared" si="10"/>
        <v>3568.0851504375664</v>
      </c>
      <c r="AB7" s="153">
        <f t="shared" ref="AB7:AB20" si="24">SUM(Z7:AA7)</f>
        <v>25868.617340672357</v>
      </c>
      <c r="AC7" s="184"/>
      <c r="AD7" s="155">
        <f t="shared" ref="AD7:AD20" si="25">AB7+X7</f>
        <v>27770.794651091765</v>
      </c>
      <c r="AE7" s="154">
        <f t="shared" si="11"/>
        <v>8657.2770289082291</v>
      </c>
      <c r="AF7" s="152">
        <f t="shared" si="12"/>
        <v>0.23765400224742916</v>
      </c>
      <c r="AG7" s="263"/>
      <c r="AH7" s="263"/>
      <c r="AI7" s="369"/>
      <c r="AK7" s="370">
        <f>AO7</f>
        <v>0.82472000000000012</v>
      </c>
      <c r="AL7" s="370">
        <f t="shared" ref="AL7:AL20" si="26">AL6*(1+CFE_YrIncreasePct)</f>
        <v>4.6084499999999995</v>
      </c>
      <c r="AM7" s="370">
        <f t="shared" si="13"/>
        <v>2.7531900000000005</v>
      </c>
      <c r="AN7" s="179"/>
      <c r="AO7" s="222">
        <f>AVERAGE(AP7,AU7)</f>
        <v>0.82472000000000012</v>
      </c>
      <c r="AP7" s="235">
        <f t="shared" ref="AP7:AP20" si="27">IF($O7=0,AQ$4*((1+InflationRate)^($B7-1)),SUM(AQ7:AT7)/$O7)</f>
        <v>0.82472000000000012</v>
      </c>
      <c r="AQ7" s="224">
        <f t="shared" ref="AQ7:AQ20" si="28">MIN($O7,AQ$3*12)*(AQ$4*((1+InflationRate)^($B7-1)))</f>
        <v>249.19653207889536</v>
      </c>
      <c r="AR7" s="225">
        <f>MAX(0,MIN($O7-SUM($AQ$3:AQ$3)*12,AR$3*12))*(AR$4*((1+InflationRate)^($B7-1)))</f>
        <v>0</v>
      </c>
      <c r="AS7" s="225">
        <f>MAX(0,MIN($O7-SUM($AQ$3:AR$3)*12,AS$3*12))*(AS$4*((1+InflationRate)^($B7-1)))</f>
        <v>0</v>
      </c>
      <c r="AT7" s="226">
        <f>MAX(0,$O7-SUM($AQ$3:AS$3)*12)*(AT$4*((1+InflationRate)^($B7-1)))</f>
        <v>0</v>
      </c>
      <c r="AU7" s="244">
        <f t="shared" ref="AU7:AU20" si="29">IF($O7=0,AV$4*((1+InflationRate)^($B7-1)),SUM(AV7:AY7)/$O7)</f>
        <v>0.82472000000000012</v>
      </c>
      <c r="AV7" s="245">
        <f t="shared" ref="AV7:AV20" si="30">MIN($O7,AV$3*12)*(AV$4*((1+InflationRate)^($B7-1)))</f>
        <v>249.19653207889536</v>
      </c>
      <c r="AW7" s="225">
        <f>MAX(0,MIN($O7-SUM($AV$3:AV$3)*12,AW$3*12))*(AW$4*((1+InflationRate)^($B7-1)))</f>
        <v>0</v>
      </c>
      <c r="AX7" s="225">
        <f>MAX(0,MIN($O7-SUM($AV$3:AW$3)*12,AX$3*12))*(AX$4*((1+InflationRate)^($B7-1)))</f>
        <v>0</v>
      </c>
      <c r="AY7" s="226">
        <f>MAX(0,$O7-SUM($AV$3:AX$3)*12)*(AY$4*((1+InflationRate)^($B7-1)))</f>
        <v>0</v>
      </c>
      <c r="BB7" s="246">
        <f t="shared" ref="BB7:BB20" si="31">IF($O7=0,BC$4,SUM(BC7:BE7)/$O7)</f>
        <v>2.5492500000000002</v>
      </c>
      <c r="BC7" s="251">
        <f>MIN($O7,BC$3*12)*BC$4</f>
        <v>770.27871205030067</v>
      </c>
      <c r="BD7" s="32">
        <f>MAX(0,MIN($O7-SUM($BC$3:BC$3)*12,BD$3*12))*BD$4</f>
        <v>0</v>
      </c>
      <c r="BE7" s="220">
        <f>MAX(0,$O7-SUM($BC$3:BD$3)*12)*BE$4</f>
        <v>0</v>
      </c>
    </row>
    <row r="8" spans="1:57" x14ac:dyDescent="0.15">
      <c r="A8" s="189">
        <f t="shared" si="14"/>
        <v>43466</v>
      </c>
      <c r="B8" s="190">
        <v>3</v>
      </c>
      <c r="C8" s="185">
        <f t="shared" si="0"/>
        <v>6000</v>
      </c>
      <c r="D8" s="159">
        <f t="shared" si="15"/>
        <v>4.9771260000000002</v>
      </c>
      <c r="E8" s="158">
        <f t="shared" si="16"/>
        <v>29862.756000000001</v>
      </c>
      <c r="F8" s="158">
        <f t="shared" si="1"/>
        <v>1361.3054400000001</v>
      </c>
      <c r="G8" s="158">
        <f t="shared" si="17"/>
        <v>31224.061440000001</v>
      </c>
      <c r="H8" s="158">
        <f t="shared" si="2"/>
        <v>3122.4061440000005</v>
      </c>
      <c r="I8" s="158">
        <f t="shared" si="3"/>
        <v>4995.8498304000004</v>
      </c>
      <c r="J8" s="157">
        <f t="shared" si="4"/>
        <v>39342.3174144</v>
      </c>
      <c r="K8" s="190"/>
      <c r="L8" s="128">
        <f t="shared" si="5"/>
        <v>5657.9561592366581</v>
      </c>
      <c r="M8" s="156">
        <f t="shared" si="18"/>
        <v>0.98604899999999995</v>
      </c>
      <c r="N8" s="156">
        <f t="shared" si="6"/>
        <v>0.94299269320610968</v>
      </c>
      <c r="O8" s="129">
        <f t="shared" si="19"/>
        <v>342.0438407633419</v>
      </c>
      <c r="P8" s="184"/>
      <c r="Q8" s="380" t="str">
        <f>IF(OR(CFE_RateCategory="DAC",CFE_RateCategory="Tarifa 1"),IF(O7&lt;VLOOKUP(CFE_Limite,ListData!$B$30:$D$36,3,FALSE),"Tarifa "&amp;CFE_Limite,"DAC"),"Tarifa 2")</f>
        <v>Tarifa 1</v>
      </c>
      <c r="R8" s="377">
        <f t="shared" ref="R8:R20" si="32">IF(O8=0,AK8,HLOOKUP($Q8,$AK$1:$AM$20,ROW(R8),FALSE))</f>
        <v>0.85770880000000016</v>
      </c>
      <c r="S8" s="158">
        <f t="shared" si="20"/>
        <v>293.37401220851712</v>
      </c>
      <c r="T8" s="158">
        <f t="shared" si="21"/>
        <v>1361.3054400000001</v>
      </c>
      <c r="U8" s="158">
        <f t="shared" si="22"/>
        <v>1654.6794522085172</v>
      </c>
      <c r="V8" s="158">
        <f t="shared" si="7"/>
        <v>165.46794522085173</v>
      </c>
      <c r="W8" s="158">
        <f t="shared" si="8"/>
        <v>264.74871235336275</v>
      </c>
      <c r="X8" s="157">
        <f t="shared" si="9"/>
        <v>2084.8961097827319</v>
      </c>
      <c r="Y8" s="184"/>
      <c r="Z8" s="155">
        <f t="shared" si="23"/>
        <v>23081.050816893006</v>
      </c>
      <c r="AA8" s="154">
        <f t="shared" si="10"/>
        <v>3692.9681307028809</v>
      </c>
      <c r="AB8" s="153">
        <f t="shared" si="24"/>
        <v>26774.018947595887</v>
      </c>
      <c r="AC8" s="184"/>
      <c r="AD8" s="155">
        <f t="shared" si="25"/>
        <v>28858.915057378617</v>
      </c>
      <c r="AE8" s="154">
        <f t="shared" si="11"/>
        <v>10483.402357021383</v>
      </c>
      <c r="AF8" s="152">
        <f t="shared" si="12"/>
        <v>0.26646631530618142</v>
      </c>
      <c r="AG8" s="263"/>
      <c r="AH8" s="263"/>
      <c r="AI8" s="369"/>
      <c r="AK8" s="371">
        <f t="shared" ref="AK8:AK20" si="33">AO8</f>
        <v>0.85770880000000016</v>
      </c>
      <c r="AL8" s="371">
        <f t="shared" si="26"/>
        <v>4.9771260000000002</v>
      </c>
      <c r="AM8" s="371">
        <f t="shared" si="13"/>
        <v>2.9734452000000005</v>
      </c>
      <c r="AN8" s="179"/>
      <c r="AO8" s="222">
        <f t="shared" ref="AO8:AO20" si="34">AVERAGE(AP8,AU8)</f>
        <v>0.85770880000000016</v>
      </c>
      <c r="AP8" s="236">
        <f t="shared" si="27"/>
        <v>0.85770880000000016</v>
      </c>
      <c r="AQ8" s="227">
        <f t="shared" si="28"/>
        <v>293.37401220851712</v>
      </c>
      <c r="AR8" s="228">
        <f>MAX(0,MIN($O8-SUM($AQ$3:AQ$3)*12,AR$3*12))*(AR$4*((1+InflationRate)^($B8-1)))</f>
        <v>0</v>
      </c>
      <c r="AS8" s="228">
        <f>MAX(0,MIN($O8-SUM($AQ$3:AR$3)*12,AS$3*12))*(AS$4*((1+InflationRate)^($B8-1)))</f>
        <v>0</v>
      </c>
      <c r="AT8" s="229">
        <f>MAX(0,$O8-SUM($AQ$3:AS$3)*12)*(AT$4*((1+InflationRate)^($B8-1)))</f>
        <v>0</v>
      </c>
      <c r="AU8" s="246">
        <f t="shared" si="29"/>
        <v>0.85770880000000016</v>
      </c>
      <c r="AV8" s="247">
        <f t="shared" si="30"/>
        <v>293.37401220851712</v>
      </c>
      <c r="AW8" s="228">
        <f>MAX(0,MIN($O8-SUM($AV$3:AV$3)*12,AW$3*12))*(AW$4*((1+InflationRate)^($B8-1)))</f>
        <v>0</v>
      </c>
      <c r="AX8" s="228">
        <f>MAX(0,MIN($O8-SUM($AV$3:AW$3)*12,AX$3*12))*(AX$4*((1+InflationRate)^($B8-1)))</f>
        <v>0</v>
      </c>
      <c r="AY8" s="229">
        <f>MAX(0,$O8-SUM($AV$3:AX$3)*12)*(AY$4*((1+InflationRate)^($B8-1)))</f>
        <v>0</v>
      </c>
      <c r="BB8" s="246">
        <f t="shared" si="31"/>
        <v>2.5492500000000002</v>
      </c>
      <c r="BC8" s="251">
        <f t="shared" ref="BC8:BC20" si="35">MIN($O8,BC$3*12)*BC$4</f>
        <v>871.95526106594946</v>
      </c>
      <c r="BD8" s="32">
        <f>MAX(0,MIN($O8-SUM($BC$3:BC$3)*12,BD$3*12))*BD$4</f>
        <v>0</v>
      </c>
      <c r="BE8" s="220">
        <f>MAX(0,$O8-SUM($BC$3:BD$3)*12)*BE$4</f>
        <v>0</v>
      </c>
    </row>
    <row r="9" spans="1:57" x14ac:dyDescent="0.15">
      <c r="A9" s="189">
        <f t="shared" si="14"/>
        <v>43831</v>
      </c>
      <c r="B9" s="190">
        <v>4</v>
      </c>
      <c r="C9" s="185">
        <f t="shared" si="0"/>
        <v>6000</v>
      </c>
      <c r="D9" s="159">
        <f t="shared" si="15"/>
        <v>5.3752960800000009</v>
      </c>
      <c r="E9" s="158">
        <f t="shared" si="16"/>
        <v>32251.776480000004</v>
      </c>
      <c r="F9" s="158">
        <f t="shared" si="1"/>
        <v>1470.2098752000002</v>
      </c>
      <c r="G9" s="158">
        <f t="shared" si="17"/>
        <v>33721.986355200002</v>
      </c>
      <c r="H9" s="158">
        <f t="shared" si="2"/>
        <v>3372.1986355200006</v>
      </c>
      <c r="I9" s="158">
        <f t="shared" si="3"/>
        <v>5395.5178168320008</v>
      </c>
      <c r="J9" s="157">
        <f t="shared" si="4"/>
        <v>42489.702807551999</v>
      </c>
      <c r="K9" s="187"/>
      <c r="L9" s="128">
        <f t="shared" si="5"/>
        <v>5618.3504661220013</v>
      </c>
      <c r="M9" s="156">
        <f t="shared" si="18"/>
        <v>0.97914665699999992</v>
      </c>
      <c r="N9" s="156">
        <f t="shared" si="6"/>
        <v>0.9363917443536669</v>
      </c>
      <c r="O9" s="129">
        <f t="shared" si="19"/>
        <v>381.64953387799869</v>
      </c>
      <c r="P9" s="184"/>
      <c r="Q9" s="380" t="str">
        <f>IF(OR(CFE_RateCategory="DAC",CFE_RateCategory="Tarifa 1"),IF(O8&lt;VLOOKUP(CFE_Limite,ListData!$B$30:$D$36,3,FALSE),"Tarifa "&amp;CFE_Limite,"DAC"),"Tarifa 2")</f>
        <v>Tarifa 1</v>
      </c>
      <c r="R9" s="377">
        <f t="shared" si="32"/>
        <v>0.89201715200000009</v>
      </c>
      <c r="S9" s="158">
        <f t="shared" si="20"/>
        <v>340.43793027197995</v>
      </c>
      <c r="T9" s="158">
        <f t="shared" si="21"/>
        <v>1470.2098752000002</v>
      </c>
      <c r="U9" s="158">
        <f t="shared" si="22"/>
        <v>1810.6478054719801</v>
      </c>
      <c r="V9" s="158">
        <f t="shared" si="7"/>
        <v>181.06478054719801</v>
      </c>
      <c r="W9" s="158">
        <f t="shared" si="8"/>
        <v>289.70364887551682</v>
      </c>
      <c r="X9" s="157">
        <f t="shared" si="9"/>
        <v>2281.4162348946948</v>
      </c>
      <c r="Y9" s="184"/>
      <c r="Z9" s="155">
        <f t="shared" si="23"/>
        <v>23888.887595484259</v>
      </c>
      <c r="AA9" s="154">
        <f t="shared" si="10"/>
        <v>3822.2220152774817</v>
      </c>
      <c r="AB9" s="153">
        <f t="shared" si="24"/>
        <v>27711.109610761741</v>
      </c>
      <c r="AC9" s="184"/>
      <c r="AD9" s="155">
        <f t="shared" si="25"/>
        <v>29992.525845656437</v>
      </c>
      <c r="AE9" s="154">
        <f t="shared" si="11"/>
        <v>12497.176961895562</v>
      </c>
      <c r="AF9" s="152">
        <f t="shared" si="12"/>
        <v>0.29412248465231322</v>
      </c>
      <c r="AG9" s="263"/>
      <c r="AH9" s="263"/>
      <c r="AI9" s="369"/>
      <c r="AK9" s="371">
        <f t="shared" si="33"/>
        <v>0.89201715200000009</v>
      </c>
      <c r="AL9" s="371">
        <f t="shared" si="26"/>
        <v>5.3752960800000009</v>
      </c>
      <c r="AM9" s="371">
        <f t="shared" si="13"/>
        <v>3.2113208160000006</v>
      </c>
      <c r="AN9" s="179"/>
      <c r="AO9" s="222">
        <f t="shared" si="34"/>
        <v>0.89201715200000009</v>
      </c>
      <c r="AP9" s="236">
        <f t="shared" si="27"/>
        <v>0.89201715200000009</v>
      </c>
      <c r="AQ9" s="227">
        <f t="shared" si="28"/>
        <v>340.43793027197995</v>
      </c>
      <c r="AR9" s="228">
        <f>MAX(0,MIN($O9-SUM($AQ$3:AQ$3)*12,AR$3*12))*(AR$4*((1+InflationRate)^($B9-1)))</f>
        <v>0</v>
      </c>
      <c r="AS9" s="228">
        <f>MAX(0,MIN($O9-SUM($AQ$3:AR$3)*12,AS$3*12))*(AS$4*((1+InflationRate)^($B9-1)))</f>
        <v>0</v>
      </c>
      <c r="AT9" s="229">
        <f>MAX(0,$O9-SUM($AQ$3:AS$3)*12)*(AT$4*((1+InflationRate)^($B9-1)))</f>
        <v>0</v>
      </c>
      <c r="AU9" s="246">
        <f t="shared" si="29"/>
        <v>0.89201715200000009</v>
      </c>
      <c r="AV9" s="247">
        <f t="shared" si="30"/>
        <v>340.43793027197995</v>
      </c>
      <c r="AW9" s="228">
        <f>MAX(0,MIN($O9-SUM($AV$3:AV$3)*12,AW$3*12))*(AW$4*((1+InflationRate)^($B9-1)))</f>
        <v>0</v>
      </c>
      <c r="AX9" s="228">
        <f>MAX(0,MIN($O9-SUM($AV$3:AW$3)*12,AX$3*12))*(AX$4*((1+InflationRate)^($B9-1)))</f>
        <v>0</v>
      </c>
      <c r="AY9" s="229">
        <f>MAX(0,$O9-SUM($AV$3:AX$3)*12)*(AY$4*((1+InflationRate)^($B9-1)))</f>
        <v>0</v>
      </c>
      <c r="BB9" s="246">
        <f t="shared" si="31"/>
        <v>2.5492500000000002</v>
      </c>
      <c r="BC9" s="251">
        <f t="shared" si="35"/>
        <v>972.92007423848827</v>
      </c>
      <c r="BD9" s="32">
        <f>MAX(0,MIN($O9-SUM($BC$3:BC$3)*12,BD$3*12))*BD$4</f>
        <v>0</v>
      </c>
      <c r="BE9" s="220">
        <f>MAX(0,$O9-SUM($BC$3:BD$3)*12)*BE$4</f>
        <v>0</v>
      </c>
    </row>
    <row r="10" spans="1:57" x14ac:dyDescent="0.15">
      <c r="A10" s="189">
        <f t="shared" si="14"/>
        <v>44197</v>
      </c>
      <c r="B10" s="190">
        <v>5</v>
      </c>
      <c r="C10" s="185">
        <f t="shared" si="0"/>
        <v>6000</v>
      </c>
      <c r="D10" s="159">
        <f t="shared" si="15"/>
        <v>5.8053197664000011</v>
      </c>
      <c r="E10" s="158">
        <f t="shared" si="16"/>
        <v>34831.918598400007</v>
      </c>
      <c r="F10" s="158">
        <f t="shared" si="1"/>
        <v>1587.8266652160005</v>
      </c>
      <c r="G10" s="158">
        <f t="shared" si="17"/>
        <v>36419.745263616009</v>
      </c>
      <c r="H10" s="158">
        <f t="shared" si="2"/>
        <v>3641.974526361601</v>
      </c>
      <c r="I10" s="158">
        <f t="shared" si="3"/>
        <v>5827.1592421785617</v>
      </c>
      <c r="J10" s="157">
        <f t="shared" si="4"/>
        <v>45888.879032156168</v>
      </c>
      <c r="K10" s="187"/>
      <c r="L10" s="128">
        <f t="shared" si="5"/>
        <v>5579.0220128591473</v>
      </c>
      <c r="M10" s="156">
        <f t="shared" si="18"/>
        <v>0.97229263040099989</v>
      </c>
      <c r="N10" s="156">
        <f t="shared" si="6"/>
        <v>0.9298370021431912</v>
      </c>
      <c r="O10" s="129">
        <f t="shared" si="19"/>
        <v>420.97798714085275</v>
      </c>
      <c r="P10" s="184"/>
      <c r="Q10" s="380" t="str">
        <f>IF(OR(CFE_RateCategory="DAC",CFE_RateCategory="Tarifa 1"),IF(O9&lt;VLOOKUP(CFE_Limite,ListData!$B$30:$D$36,3,FALSE),"Tarifa "&amp;CFE_Limite,"DAC"),"Tarifa 2")</f>
        <v>Tarifa 1</v>
      </c>
      <c r="R10" s="377">
        <f t="shared" si="32"/>
        <v>0.92769783808000028</v>
      </c>
      <c r="S10" s="158">
        <f t="shared" si="20"/>
        <v>390.54036854983923</v>
      </c>
      <c r="T10" s="158">
        <f t="shared" si="21"/>
        <v>1587.8266652160005</v>
      </c>
      <c r="U10" s="158">
        <f t="shared" si="22"/>
        <v>1978.3670337658398</v>
      </c>
      <c r="V10" s="158">
        <f t="shared" si="7"/>
        <v>197.83670337658398</v>
      </c>
      <c r="W10" s="158">
        <f t="shared" si="8"/>
        <v>316.5387254025344</v>
      </c>
      <c r="X10" s="157">
        <f t="shared" si="9"/>
        <v>2492.7424625449585</v>
      </c>
      <c r="Y10" s="184"/>
      <c r="Z10" s="155">
        <f t="shared" si="23"/>
        <v>24724.998661326204</v>
      </c>
      <c r="AA10" s="154">
        <f t="shared" si="10"/>
        <v>3955.9997858121928</v>
      </c>
      <c r="AB10" s="153">
        <f t="shared" si="24"/>
        <v>28680.998447138398</v>
      </c>
      <c r="AC10" s="184"/>
      <c r="AD10" s="155">
        <f t="shared" si="25"/>
        <v>31173.740909683358</v>
      </c>
      <c r="AE10" s="154">
        <f t="shared" si="11"/>
        <v>14715.13812247281</v>
      </c>
      <c r="AF10" s="152">
        <f t="shared" si="12"/>
        <v>0.32066893837527227</v>
      </c>
      <c r="AG10" s="263"/>
      <c r="AH10" s="263"/>
      <c r="AI10" s="369"/>
      <c r="AK10" s="371">
        <f t="shared" si="33"/>
        <v>0.92769783808000028</v>
      </c>
      <c r="AL10" s="371">
        <f t="shared" si="26"/>
        <v>5.8053197664000011</v>
      </c>
      <c r="AM10" s="371">
        <f t="shared" si="13"/>
        <v>3.4682264812800012</v>
      </c>
      <c r="AN10" s="179"/>
      <c r="AO10" s="222">
        <f t="shared" si="34"/>
        <v>0.92769783808000028</v>
      </c>
      <c r="AP10" s="236">
        <f t="shared" si="27"/>
        <v>0.92769783808000028</v>
      </c>
      <c r="AQ10" s="227">
        <f t="shared" si="28"/>
        <v>390.54036854983923</v>
      </c>
      <c r="AR10" s="228">
        <f>MAX(0,MIN($O10-SUM($AQ$3:AQ$3)*12,AR$3*12))*(AR$4*((1+InflationRate)^($B10-1)))</f>
        <v>0</v>
      </c>
      <c r="AS10" s="228">
        <f>MAX(0,MIN($O10-SUM($AQ$3:AR$3)*12,AS$3*12))*(AS$4*((1+InflationRate)^($B10-1)))</f>
        <v>0</v>
      </c>
      <c r="AT10" s="229">
        <f>MAX(0,$O10-SUM($AQ$3:AS$3)*12)*(AT$4*((1+InflationRate)^($B10-1)))</f>
        <v>0</v>
      </c>
      <c r="AU10" s="246">
        <f t="shared" si="29"/>
        <v>0.92769783808000028</v>
      </c>
      <c r="AV10" s="247">
        <f t="shared" si="30"/>
        <v>390.54036854983923</v>
      </c>
      <c r="AW10" s="228">
        <f>MAX(0,MIN($O10-SUM($AV$3:AV$3)*12,AW$3*12))*(AW$4*((1+InflationRate)^($B10-1)))</f>
        <v>0</v>
      </c>
      <c r="AX10" s="228">
        <f>MAX(0,MIN($O10-SUM($AV$3:AW$3)*12,AX$3*12))*(AX$4*((1+InflationRate)^($B10-1)))</f>
        <v>0</v>
      </c>
      <c r="AY10" s="229">
        <f>MAX(0,$O10-SUM($AV$3:AX$3)*12)*(AY$4*((1+InflationRate)^($B10-1)))</f>
        <v>0</v>
      </c>
      <c r="BB10" s="246">
        <f t="shared" si="31"/>
        <v>2.5492500000000002</v>
      </c>
      <c r="BC10" s="251">
        <f t="shared" si="35"/>
        <v>1073.178133718819</v>
      </c>
      <c r="BD10" s="32">
        <f>MAX(0,MIN($O10-SUM($BC$3:BC$3)*12,BD$3*12))*BD$4</f>
        <v>0</v>
      </c>
      <c r="BE10" s="220">
        <f>MAX(0,$O10-SUM($BC$3:BD$3)*12)*BE$4</f>
        <v>0</v>
      </c>
    </row>
    <row r="11" spans="1:57" x14ac:dyDescent="0.15">
      <c r="A11" s="189">
        <f t="shared" si="14"/>
        <v>44562</v>
      </c>
      <c r="B11" s="190">
        <v>6</v>
      </c>
      <c r="C11" s="185">
        <f t="shared" si="0"/>
        <v>6000</v>
      </c>
      <c r="D11" s="159">
        <f t="shared" si="15"/>
        <v>6.2697453477120018</v>
      </c>
      <c r="E11" s="158">
        <f t="shared" si="16"/>
        <v>37618.472086272013</v>
      </c>
      <c r="F11" s="158">
        <f t="shared" si="1"/>
        <v>1714.8527984332807</v>
      </c>
      <c r="G11" s="158">
        <f t="shared" si="17"/>
        <v>39333.324884705296</v>
      </c>
      <c r="H11" s="158">
        <f t="shared" si="2"/>
        <v>3933.3324884705298</v>
      </c>
      <c r="I11" s="158">
        <f t="shared" si="3"/>
        <v>6293.3319815528475</v>
      </c>
      <c r="J11" s="157">
        <f t="shared" si="4"/>
        <v>49559.98935472867</v>
      </c>
      <c r="K11" s="187"/>
      <c r="L11" s="128">
        <f t="shared" si="5"/>
        <v>5539.9688587691335</v>
      </c>
      <c r="M11" s="156">
        <f t="shared" si="18"/>
        <v>0.96548658198819293</v>
      </c>
      <c r="N11" s="156">
        <f t="shared" si="6"/>
        <v>0.92332814312818889</v>
      </c>
      <c r="O11" s="129">
        <f t="shared" si="19"/>
        <v>460.03114123086652</v>
      </c>
      <c r="P11" s="184"/>
      <c r="Q11" s="380" t="str">
        <f>IF(OR(CFE_RateCategory="DAC",CFE_RateCategory="Tarifa 1"),IF(O10&lt;VLOOKUP(CFE_Limite,ListData!$B$30:$D$36,3,FALSE),"Tarifa "&amp;CFE_Limite,"DAC"),"Tarifa 2")</f>
        <v>Tarifa 1</v>
      </c>
      <c r="R11" s="377">
        <f t="shared" si="32"/>
        <v>0.96480575160320048</v>
      </c>
      <c r="S11" s="158">
        <f t="shared" si="20"/>
        <v>443.84069097612422</v>
      </c>
      <c r="T11" s="158">
        <f t="shared" si="21"/>
        <v>1714.8527984332807</v>
      </c>
      <c r="U11" s="158">
        <f t="shared" si="22"/>
        <v>2158.6934894094047</v>
      </c>
      <c r="V11" s="158">
        <f t="shared" si="7"/>
        <v>215.86934894094048</v>
      </c>
      <c r="W11" s="158">
        <f t="shared" si="8"/>
        <v>345.39095830550474</v>
      </c>
      <c r="X11" s="157">
        <f t="shared" si="9"/>
        <v>2719.9537966558501</v>
      </c>
      <c r="Y11" s="184"/>
      <c r="Z11" s="155">
        <f t="shared" si="23"/>
        <v>25590.373614472621</v>
      </c>
      <c r="AA11" s="154">
        <f t="shared" si="10"/>
        <v>4094.4597783156196</v>
      </c>
      <c r="AB11" s="153">
        <f t="shared" si="24"/>
        <v>29684.833392788241</v>
      </c>
      <c r="AC11" s="184"/>
      <c r="AD11" s="155">
        <f t="shared" si="25"/>
        <v>32404.78718944409</v>
      </c>
      <c r="AE11" s="154">
        <f t="shared" si="11"/>
        <v>17155.20216528458</v>
      </c>
      <c r="AF11" s="152">
        <f t="shared" si="12"/>
        <v>0.34615023910709836</v>
      </c>
      <c r="AG11" s="263"/>
      <c r="AH11" s="263"/>
      <c r="AI11" s="369"/>
      <c r="AK11" s="371">
        <f t="shared" si="33"/>
        <v>0.96480575160320048</v>
      </c>
      <c r="AL11" s="371">
        <f t="shared" si="26"/>
        <v>6.2697453477120018</v>
      </c>
      <c r="AM11" s="371">
        <f t="shared" si="13"/>
        <v>3.7456845997824004</v>
      </c>
      <c r="AN11" s="179"/>
      <c r="AO11" s="222">
        <f t="shared" si="34"/>
        <v>0.96480575160320048</v>
      </c>
      <c r="AP11" s="236">
        <f t="shared" si="27"/>
        <v>0.96480575160320048</v>
      </c>
      <c r="AQ11" s="227">
        <f t="shared" si="28"/>
        <v>443.84069097612422</v>
      </c>
      <c r="AR11" s="228">
        <f>MAX(0,MIN($O11-SUM($AQ$3:AQ$3)*12,AR$3*12))*(AR$4*((1+InflationRate)^($B11-1)))</f>
        <v>0</v>
      </c>
      <c r="AS11" s="228">
        <f>MAX(0,MIN($O11-SUM($AQ$3:AR$3)*12,AS$3*12))*(AS$4*((1+InflationRate)^($B11-1)))</f>
        <v>0</v>
      </c>
      <c r="AT11" s="229">
        <f>MAX(0,$O11-SUM($AQ$3:AS$3)*12)*(AT$4*((1+InflationRate)^($B11-1)))</f>
        <v>0</v>
      </c>
      <c r="AU11" s="246">
        <f t="shared" si="29"/>
        <v>0.96480575160320048</v>
      </c>
      <c r="AV11" s="247">
        <f t="shared" si="30"/>
        <v>443.84069097612422</v>
      </c>
      <c r="AW11" s="228">
        <f>MAX(0,MIN($O11-SUM($AV$3:AV$3)*12,AW$3*12))*(AW$4*((1+InflationRate)^($B11-1)))</f>
        <v>0</v>
      </c>
      <c r="AX11" s="228">
        <f>MAX(0,MIN($O11-SUM($AV$3:AW$3)*12,AX$3*12))*(AX$4*((1+InflationRate)^($B11-1)))</f>
        <v>0</v>
      </c>
      <c r="AY11" s="229">
        <f>MAX(0,$O11-SUM($AV$3:AX$3)*12)*(AY$4*((1+InflationRate)^($B11-1)))</f>
        <v>0</v>
      </c>
      <c r="BB11" s="246">
        <f t="shared" si="31"/>
        <v>2.5492499999999998</v>
      </c>
      <c r="BC11" s="251">
        <f t="shared" si="35"/>
        <v>1172.7343867827865</v>
      </c>
      <c r="BD11" s="32">
        <f>MAX(0,MIN($O11-SUM($BC$3:BC$3)*12,BD$3*12))*BD$4</f>
        <v>0</v>
      </c>
      <c r="BE11" s="220">
        <f>MAX(0,$O11-SUM($BC$3:BD$3)*12)*BE$4</f>
        <v>0</v>
      </c>
    </row>
    <row r="12" spans="1:57" x14ac:dyDescent="0.15">
      <c r="A12" s="189">
        <f t="shared" si="14"/>
        <v>44927</v>
      </c>
      <c r="B12" s="190">
        <v>7</v>
      </c>
      <c r="C12" s="185">
        <f t="shared" si="0"/>
        <v>6000</v>
      </c>
      <c r="D12" s="159">
        <f t="shared" si="15"/>
        <v>6.7713249755289624</v>
      </c>
      <c r="E12" s="158">
        <f t="shared" si="16"/>
        <v>40627.949853173777</v>
      </c>
      <c r="F12" s="158">
        <f t="shared" si="1"/>
        <v>1852.041022307943</v>
      </c>
      <c r="G12" s="158">
        <f t="shared" si="17"/>
        <v>42479.990875481722</v>
      </c>
      <c r="H12" s="158">
        <f t="shared" si="2"/>
        <v>4247.9990875481726</v>
      </c>
      <c r="I12" s="158">
        <f t="shared" si="3"/>
        <v>6796.7985400770758</v>
      </c>
      <c r="J12" s="157">
        <f t="shared" si="4"/>
        <v>53524.788503106975</v>
      </c>
      <c r="K12" s="187"/>
      <c r="L12" s="128">
        <f t="shared" si="5"/>
        <v>5501.1890767577497</v>
      </c>
      <c r="M12" s="156">
        <f t="shared" si="18"/>
        <v>0.95872817591427562</v>
      </c>
      <c r="N12" s="156">
        <f t="shared" si="6"/>
        <v>0.9168648461262916</v>
      </c>
      <c r="O12" s="129">
        <f t="shared" si="19"/>
        <v>498.81092324225028</v>
      </c>
      <c r="P12" s="184"/>
      <c r="Q12" s="380" t="str">
        <f>IF(OR(CFE_RateCategory="DAC",CFE_RateCategory="Tarifa 1"),IF(O11&lt;VLOOKUP(CFE_Limite,ListData!$B$30:$D$36,3,FALSE),"Tarifa "&amp;CFE_Limite,"DAC"),"Tarifa 2")</f>
        <v>Tarifa 1</v>
      </c>
      <c r="R12" s="377">
        <f t="shared" si="32"/>
        <v>1.0033979816673284</v>
      </c>
      <c r="S12" s="158">
        <f t="shared" si="20"/>
        <v>500.50587361489062</v>
      </c>
      <c r="T12" s="158">
        <f t="shared" si="21"/>
        <v>1852.041022307943</v>
      </c>
      <c r="U12" s="158">
        <f t="shared" si="22"/>
        <v>2352.5468959228338</v>
      </c>
      <c r="V12" s="158">
        <f t="shared" si="7"/>
        <v>235.2546895922834</v>
      </c>
      <c r="W12" s="158">
        <f t="shared" si="8"/>
        <v>376.4075033476534</v>
      </c>
      <c r="X12" s="157">
        <f t="shared" si="9"/>
        <v>2964.2090888627704</v>
      </c>
      <c r="Y12" s="184"/>
      <c r="Z12" s="155">
        <f t="shared" si="23"/>
        <v>26486.036690979159</v>
      </c>
      <c r="AA12" s="154">
        <f t="shared" si="10"/>
        <v>4237.7658705566655</v>
      </c>
      <c r="AB12" s="153">
        <f t="shared" si="24"/>
        <v>30723.802561535824</v>
      </c>
      <c r="AC12" s="184"/>
      <c r="AD12" s="155">
        <f t="shared" si="25"/>
        <v>33688.011650398592</v>
      </c>
      <c r="AE12" s="154">
        <f t="shared" si="11"/>
        <v>19836.776852708383</v>
      </c>
      <c r="AF12" s="152">
        <f t="shared" si="12"/>
        <v>0.3706091589984874</v>
      </c>
      <c r="AG12" s="263"/>
      <c r="AH12" s="263"/>
      <c r="AI12" s="369"/>
      <c r="AK12" s="371">
        <f t="shared" si="33"/>
        <v>1.0033979816673284</v>
      </c>
      <c r="AL12" s="371">
        <f t="shared" si="26"/>
        <v>6.7713249755289624</v>
      </c>
      <c r="AM12" s="371">
        <f t="shared" si="13"/>
        <v>4.0453393677649938</v>
      </c>
      <c r="AN12" s="179"/>
      <c r="AO12" s="222">
        <f t="shared" si="34"/>
        <v>1.0033979816673284</v>
      </c>
      <c r="AP12" s="236">
        <f t="shared" si="27"/>
        <v>1.0033979816673284</v>
      </c>
      <c r="AQ12" s="227">
        <f t="shared" si="28"/>
        <v>500.50587361489062</v>
      </c>
      <c r="AR12" s="228">
        <f>MAX(0,MIN($O12-SUM($AQ$3:AQ$3)*12,AR$3*12))*(AR$4*((1+InflationRate)^($B12-1)))</f>
        <v>0</v>
      </c>
      <c r="AS12" s="228">
        <f>MAX(0,MIN($O12-SUM($AQ$3:AR$3)*12,AS$3*12))*(AS$4*((1+InflationRate)^($B12-1)))</f>
        <v>0</v>
      </c>
      <c r="AT12" s="229">
        <f>MAX(0,$O12-SUM($AQ$3:AS$3)*12)*(AT$4*((1+InflationRate)^($B12-1)))</f>
        <v>0</v>
      </c>
      <c r="AU12" s="246">
        <f t="shared" si="29"/>
        <v>1.0033979816673284</v>
      </c>
      <c r="AV12" s="247">
        <f t="shared" si="30"/>
        <v>500.50587361489062</v>
      </c>
      <c r="AW12" s="228">
        <f>MAX(0,MIN($O12-SUM($AV$3:AV$3)*12,AW$3*12))*(AW$4*((1+InflationRate)^($B12-1)))</f>
        <v>0</v>
      </c>
      <c r="AX12" s="228">
        <f>MAX(0,MIN($O12-SUM($AV$3:AW$3)*12,AX$3*12))*(AX$4*((1+InflationRate)^($B12-1)))</f>
        <v>0</v>
      </c>
      <c r="AY12" s="229">
        <f>MAX(0,$O12-SUM($AV$3:AX$3)*12)*(AY$4*((1+InflationRate)^($B12-1)))</f>
        <v>0</v>
      </c>
      <c r="BB12" s="246">
        <f t="shared" si="31"/>
        <v>2.5492500000000002</v>
      </c>
      <c r="BC12" s="251">
        <f t="shared" si="35"/>
        <v>1271.5937460753066</v>
      </c>
      <c r="BD12" s="32">
        <f>MAX(0,MIN($O12-SUM($BC$3:BC$3)*12,BD$3*12))*BD$4</f>
        <v>0</v>
      </c>
      <c r="BE12" s="220">
        <f>MAX(0,$O12-SUM($BC$3:BD$3)*12)*BE$4</f>
        <v>0</v>
      </c>
    </row>
    <row r="13" spans="1:57" x14ac:dyDescent="0.15">
      <c r="A13" s="189">
        <f t="shared" si="14"/>
        <v>45292</v>
      </c>
      <c r="B13" s="190">
        <v>8</v>
      </c>
      <c r="C13" s="185">
        <f t="shared" si="0"/>
        <v>6000</v>
      </c>
      <c r="D13" s="159">
        <f t="shared" si="15"/>
        <v>7.31303097357128</v>
      </c>
      <c r="E13" s="158">
        <f t="shared" si="16"/>
        <v>43878.185841427679</v>
      </c>
      <c r="F13" s="158">
        <f t="shared" si="1"/>
        <v>2000.2043040925787</v>
      </c>
      <c r="G13" s="158">
        <f t="shared" si="17"/>
        <v>45878.390145520258</v>
      </c>
      <c r="H13" s="158">
        <f t="shared" si="2"/>
        <v>4587.8390145520261</v>
      </c>
      <c r="I13" s="158">
        <f t="shared" si="3"/>
        <v>7340.5424232832411</v>
      </c>
      <c r="J13" s="157">
        <f t="shared" si="4"/>
        <v>57806.771583355527</v>
      </c>
      <c r="K13" s="187"/>
      <c r="L13" s="128">
        <f t="shared" si="5"/>
        <v>5462.6807532204457</v>
      </c>
      <c r="M13" s="156">
        <f t="shared" si="18"/>
        <v>0.95201707868287566</v>
      </c>
      <c r="N13" s="156">
        <f t="shared" si="6"/>
        <v>0.91044679220340763</v>
      </c>
      <c r="O13" s="129">
        <f t="shared" si="19"/>
        <v>537.31924677955431</v>
      </c>
      <c r="P13" s="184"/>
      <c r="Q13" s="380" t="str">
        <f>IF(OR(CFE_RateCategory="DAC",CFE_RateCategory="Tarifa 1"),IF(O12&lt;VLOOKUP(CFE_Limite,ListData!$B$30:$D$36,3,FALSE),"Tarifa "&amp;CFE_Limite,"DAC"),"Tarifa 2")</f>
        <v>Tarifa 1</v>
      </c>
      <c r="R13" s="377">
        <f t="shared" si="32"/>
        <v>1.0435339009340214</v>
      </c>
      <c r="S13" s="158">
        <f t="shared" si="20"/>
        <v>560.71084963879844</v>
      </c>
      <c r="T13" s="158">
        <f t="shared" si="21"/>
        <v>2000.2043040925787</v>
      </c>
      <c r="U13" s="158">
        <f t="shared" si="22"/>
        <v>2560.9151537313774</v>
      </c>
      <c r="V13" s="158">
        <f t="shared" si="7"/>
        <v>256.09151537313772</v>
      </c>
      <c r="W13" s="158">
        <f t="shared" si="8"/>
        <v>409.74642459702039</v>
      </c>
      <c r="X13" s="157">
        <f t="shared" si="9"/>
        <v>3226.7530937015354</v>
      </c>
      <c r="Y13" s="184"/>
      <c r="Z13" s="155">
        <f t="shared" si="23"/>
        <v>27413.047975163427</v>
      </c>
      <c r="AA13" s="154">
        <f t="shared" si="10"/>
        <v>4386.0876760261481</v>
      </c>
      <c r="AB13" s="153">
        <f t="shared" si="24"/>
        <v>31799.135651189576</v>
      </c>
      <c r="AC13" s="184"/>
      <c r="AD13" s="155">
        <f t="shared" si="25"/>
        <v>35025.888744891112</v>
      </c>
      <c r="AE13" s="154">
        <f t="shared" si="11"/>
        <v>22780.882838464415</v>
      </c>
      <c r="AF13" s="152">
        <f t="shared" si="12"/>
        <v>0.39408675168124735</v>
      </c>
      <c r="AG13" s="263"/>
      <c r="AH13" s="263"/>
      <c r="AI13" s="369"/>
      <c r="AK13" s="371">
        <f t="shared" si="33"/>
        <v>1.0435339009340214</v>
      </c>
      <c r="AL13" s="371">
        <f t="shared" si="26"/>
        <v>7.31303097357128</v>
      </c>
      <c r="AM13" s="371">
        <f t="shared" si="13"/>
        <v>4.3689665171861938</v>
      </c>
      <c r="AN13" s="179"/>
      <c r="AO13" s="222">
        <f t="shared" si="34"/>
        <v>1.0435339009340214</v>
      </c>
      <c r="AP13" s="236">
        <f t="shared" si="27"/>
        <v>1.0435339009340214</v>
      </c>
      <c r="AQ13" s="227">
        <f t="shared" si="28"/>
        <v>560.71084963879844</v>
      </c>
      <c r="AR13" s="228">
        <f>MAX(0,MIN($O13-SUM($AQ$3:AQ$3)*12,AR$3*12))*(AR$4*((1+InflationRate)^($B13-1)))</f>
        <v>0</v>
      </c>
      <c r="AS13" s="228">
        <f>MAX(0,MIN($O13-SUM($AQ$3:AR$3)*12,AS$3*12))*(AS$4*((1+InflationRate)^($B13-1)))</f>
        <v>0</v>
      </c>
      <c r="AT13" s="229">
        <f>MAX(0,$O13-SUM($AQ$3:AS$3)*12)*(AT$4*((1+InflationRate)^($B13-1)))</f>
        <v>0</v>
      </c>
      <c r="AU13" s="246">
        <f t="shared" si="29"/>
        <v>1.0435339009340214</v>
      </c>
      <c r="AV13" s="247">
        <f t="shared" si="30"/>
        <v>560.71084963879844</v>
      </c>
      <c r="AW13" s="228">
        <f>MAX(0,MIN($O13-SUM($AV$3:AV$3)*12,AW$3*12))*(AW$4*((1+InflationRate)^($B13-1)))</f>
        <v>0</v>
      </c>
      <c r="AX13" s="228">
        <f>MAX(0,MIN($O13-SUM($AV$3:AW$3)*12,AX$3*12))*(AX$4*((1+InflationRate)^($B13-1)))</f>
        <v>0</v>
      </c>
      <c r="AY13" s="229">
        <f>MAX(0,$O13-SUM($AV$3:AX$3)*12)*(AY$4*((1+InflationRate)^($B13-1)))</f>
        <v>0</v>
      </c>
      <c r="BB13" s="246">
        <f t="shared" si="31"/>
        <v>2.5492500000000002</v>
      </c>
      <c r="BC13" s="251">
        <f t="shared" si="35"/>
        <v>1369.7610898527789</v>
      </c>
      <c r="BD13" s="32">
        <f>MAX(0,MIN($O13-SUM($BC$3:BC$3)*12,BD$3*12))*BD$4</f>
        <v>0</v>
      </c>
      <c r="BE13" s="220">
        <f>MAX(0,$O13-SUM($BC$3:BD$3)*12)*BE$4</f>
        <v>0</v>
      </c>
    </row>
    <row r="14" spans="1:57" x14ac:dyDescent="0.15">
      <c r="A14" s="189">
        <f t="shared" si="14"/>
        <v>45658</v>
      </c>
      <c r="B14" s="190">
        <v>9</v>
      </c>
      <c r="C14" s="185">
        <f t="shared" si="0"/>
        <v>6000</v>
      </c>
      <c r="D14" s="159">
        <f t="shared" si="15"/>
        <v>7.898073451456983</v>
      </c>
      <c r="E14" s="158">
        <f t="shared" si="16"/>
        <v>47388.440708741895</v>
      </c>
      <c r="F14" s="158">
        <f t="shared" si="1"/>
        <v>2160.2206484199851</v>
      </c>
      <c r="G14" s="158">
        <f t="shared" si="17"/>
        <v>49548.66135716188</v>
      </c>
      <c r="H14" s="158">
        <f t="shared" si="2"/>
        <v>4954.8661357161882</v>
      </c>
      <c r="I14" s="158">
        <f t="shared" si="3"/>
        <v>7927.7858171459011</v>
      </c>
      <c r="J14" s="157">
        <f t="shared" si="4"/>
        <v>62431.313310023972</v>
      </c>
      <c r="K14" s="187"/>
      <c r="L14" s="128">
        <f t="shared" si="5"/>
        <v>5424.4419879479019</v>
      </c>
      <c r="M14" s="156">
        <f t="shared" si="18"/>
        <v>0.94535295913209549</v>
      </c>
      <c r="N14" s="156">
        <f t="shared" si="6"/>
        <v>0.90407366465798367</v>
      </c>
      <c r="O14" s="129">
        <f t="shared" si="19"/>
        <v>575.55801205209809</v>
      </c>
      <c r="P14" s="184"/>
      <c r="Q14" s="380" t="str">
        <f>IF(OR(CFE_RateCategory="DAC",CFE_RateCategory="Tarifa 1"),IF(O13&lt;VLOOKUP(CFE_Limite,ListData!$B$30:$D$36,3,FALSE),"Tarifa "&amp;CFE_Limite,"DAC"),"Tarifa 2")</f>
        <v>Tarifa 1</v>
      </c>
      <c r="R14" s="377">
        <f t="shared" si="32"/>
        <v>1.0852752569713824</v>
      </c>
      <c r="S14" s="158">
        <f t="shared" si="20"/>
        <v>624.63886943177874</v>
      </c>
      <c r="T14" s="158">
        <f t="shared" si="21"/>
        <v>2160.2206484199851</v>
      </c>
      <c r="U14" s="158">
        <f t="shared" si="22"/>
        <v>2784.8595178517639</v>
      </c>
      <c r="V14" s="158">
        <f t="shared" si="7"/>
        <v>278.48595178517638</v>
      </c>
      <c r="W14" s="158">
        <f t="shared" si="8"/>
        <v>445.57752285628226</v>
      </c>
      <c r="X14" s="157">
        <f t="shared" si="9"/>
        <v>3508.9229924932224</v>
      </c>
      <c r="Y14" s="184"/>
      <c r="Z14" s="155">
        <f t="shared" si="23"/>
        <v>28372.504654294145</v>
      </c>
      <c r="AA14" s="154">
        <f t="shared" si="10"/>
        <v>4539.6007446870635</v>
      </c>
      <c r="AB14" s="153">
        <f t="shared" si="24"/>
        <v>32912.105398981206</v>
      </c>
      <c r="AC14" s="184"/>
      <c r="AD14" s="155">
        <f t="shared" si="25"/>
        <v>36421.028391474429</v>
      </c>
      <c r="AE14" s="154">
        <f t="shared" si="11"/>
        <v>26010.284918549543</v>
      </c>
      <c r="AF14" s="152">
        <f t="shared" si="12"/>
        <v>0.41662242133825705</v>
      </c>
      <c r="AG14" s="263"/>
      <c r="AH14" s="263"/>
      <c r="AI14" s="369"/>
      <c r="AK14" s="371">
        <f t="shared" si="33"/>
        <v>1.0852752569713824</v>
      </c>
      <c r="AL14" s="371">
        <f t="shared" si="26"/>
        <v>7.898073451456983</v>
      </c>
      <c r="AM14" s="371">
        <f t="shared" si="13"/>
        <v>4.718483838561089</v>
      </c>
      <c r="AN14" s="179"/>
      <c r="AO14" s="222">
        <f t="shared" si="34"/>
        <v>1.0852752569713824</v>
      </c>
      <c r="AP14" s="236">
        <f t="shared" si="27"/>
        <v>1.0852752569713824</v>
      </c>
      <c r="AQ14" s="227">
        <f t="shared" si="28"/>
        <v>624.63886943177874</v>
      </c>
      <c r="AR14" s="228">
        <f>MAX(0,MIN($O14-SUM($AQ$3:AQ$3)*12,AR$3*12))*(AR$4*((1+InflationRate)^($B14-1)))</f>
        <v>0</v>
      </c>
      <c r="AS14" s="228">
        <f>MAX(0,MIN($O14-SUM($AQ$3:AR$3)*12,AS$3*12))*(AS$4*((1+InflationRate)^($B14-1)))</f>
        <v>0</v>
      </c>
      <c r="AT14" s="229">
        <f>MAX(0,$O14-SUM($AQ$3:AS$3)*12)*(AT$4*((1+InflationRate)^($B14-1)))</f>
        <v>0</v>
      </c>
      <c r="AU14" s="246">
        <f t="shared" si="29"/>
        <v>1.0852752569713824</v>
      </c>
      <c r="AV14" s="247">
        <f t="shared" si="30"/>
        <v>624.63886943177874</v>
      </c>
      <c r="AW14" s="228">
        <f>MAX(0,MIN($O14-SUM($AV$3:AV$3)*12,AW$3*12))*(AW$4*((1+InflationRate)^($B14-1)))</f>
        <v>0</v>
      </c>
      <c r="AX14" s="228">
        <f>MAX(0,MIN($O14-SUM($AV$3:AW$3)*12,AX$3*12))*(AX$4*((1+InflationRate)^($B14-1)))</f>
        <v>0</v>
      </c>
      <c r="AY14" s="229">
        <f>MAX(0,$O14-SUM($AV$3:AX$3)*12)*(AY$4*((1+InflationRate)^($B14-1)))</f>
        <v>0</v>
      </c>
      <c r="BB14" s="246">
        <f t="shared" si="31"/>
        <v>2.5492500000000002</v>
      </c>
      <c r="BC14" s="251">
        <f t="shared" si="35"/>
        <v>1467.2412622238112</v>
      </c>
      <c r="BD14" s="32">
        <f>MAX(0,MIN($O14-SUM($BC$3:BC$3)*12,BD$3*12))*BD$4</f>
        <v>0</v>
      </c>
      <c r="BE14" s="220">
        <f>MAX(0,$O14-SUM($BC$3:BD$3)*12)*BE$4</f>
        <v>0</v>
      </c>
    </row>
    <row r="15" spans="1:57" x14ac:dyDescent="0.15">
      <c r="A15" s="189">
        <f t="shared" si="14"/>
        <v>46023</v>
      </c>
      <c r="B15" s="190">
        <v>10</v>
      </c>
      <c r="C15" s="185">
        <f t="shared" si="0"/>
        <v>6000</v>
      </c>
      <c r="D15" s="159">
        <f t="shared" si="15"/>
        <v>8.529919327573543</v>
      </c>
      <c r="E15" s="158">
        <f t="shared" si="16"/>
        <v>51179.515965441256</v>
      </c>
      <c r="F15" s="158">
        <f t="shared" si="1"/>
        <v>2333.0383002935841</v>
      </c>
      <c r="G15" s="158">
        <f t="shared" si="17"/>
        <v>53512.554265734841</v>
      </c>
      <c r="H15" s="158">
        <f t="shared" si="2"/>
        <v>5351.2554265734843</v>
      </c>
      <c r="I15" s="158">
        <f t="shared" si="3"/>
        <v>8562.0086825175749</v>
      </c>
      <c r="J15" s="157">
        <f t="shared" si="4"/>
        <v>67425.818374825903</v>
      </c>
      <c r="K15" s="187"/>
      <c r="L15" s="128">
        <f t="shared" si="5"/>
        <v>5386.4708940322662</v>
      </c>
      <c r="M15" s="156">
        <f t="shared" si="18"/>
        <v>0.93873548841817078</v>
      </c>
      <c r="N15" s="156">
        <f t="shared" si="6"/>
        <v>0.89774514900537772</v>
      </c>
      <c r="O15" s="129">
        <f t="shared" si="19"/>
        <v>613.52910596773381</v>
      </c>
      <c r="P15" s="184"/>
      <c r="Q15" s="380" t="str">
        <f>IF(OR(CFE_RateCategory="DAC",CFE_RateCategory="Tarifa 1"),IF(O14&lt;VLOOKUP(CFE_Limite,ListData!$B$30:$D$36,3,FALSE),"Tarifa "&amp;CFE_Limite,"DAC"),"Tarifa 2")</f>
        <v>Tarifa 1</v>
      </c>
      <c r="R15" s="377">
        <f t="shared" si="32"/>
        <v>1.1286862672502378</v>
      </c>
      <c r="S15" s="158">
        <f t="shared" si="20"/>
        <v>692.48187646409713</v>
      </c>
      <c r="T15" s="158">
        <f t="shared" si="21"/>
        <v>2333.0383002935841</v>
      </c>
      <c r="U15" s="158">
        <f t="shared" si="22"/>
        <v>3025.5201767576814</v>
      </c>
      <c r="V15" s="158">
        <f t="shared" si="7"/>
        <v>302.55201767576813</v>
      </c>
      <c r="W15" s="158">
        <f t="shared" si="8"/>
        <v>484.08322828122903</v>
      </c>
      <c r="X15" s="157">
        <f t="shared" si="9"/>
        <v>3812.1554227146785</v>
      </c>
      <c r="Y15" s="184"/>
      <c r="Z15" s="155">
        <f t="shared" si="23"/>
        <v>29365.542317194439</v>
      </c>
      <c r="AA15" s="154">
        <f t="shared" si="10"/>
        <v>4698.4867707511103</v>
      </c>
      <c r="AB15" s="153">
        <f t="shared" si="24"/>
        <v>34064.02908794555</v>
      </c>
      <c r="AC15" s="184"/>
      <c r="AD15" s="155">
        <f t="shared" si="25"/>
        <v>37876.184510660227</v>
      </c>
      <c r="AE15" s="154">
        <f t="shared" si="11"/>
        <v>29549.633864165677</v>
      </c>
      <c r="AF15" s="152">
        <f t="shared" si="12"/>
        <v>0.43825398899716322</v>
      </c>
      <c r="AG15" s="263"/>
      <c r="AH15" s="263"/>
      <c r="AI15" s="369"/>
      <c r="AK15" s="371">
        <f t="shared" si="33"/>
        <v>1.1286862672502378</v>
      </c>
      <c r="AL15" s="371">
        <f t="shared" si="26"/>
        <v>8.529919327573543</v>
      </c>
      <c r="AM15" s="371">
        <f t="shared" si="13"/>
        <v>5.1190754858187839</v>
      </c>
      <c r="AN15" s="179"/>
      <c r="AO15" s="222">
        <f t="shared" si="34"/>
        <v>1.1286862672502378</v>
      </c>
      <c r="AP15" s="236">
        <f t="shared" si="27"/>
        <v>1.1286862672502378</v>
      </c>
      <c r="AQ15" s="227">
        <f t="shared" si="28"/>
        <v>692.48187646409713</v>
      </c>
      <c r="AR15" s="228">
        <f>MAX(0,MIN($O15-SUM($AQ$3:AQ$3)*12,AR$3*12))*(AR$4*((1+InflationRate)^($B15-1)))</f>
        <v>0</v>
      </c>
      <c r="AS15" s="228">
        <f>MAX(0,MIN($O15-SUM($AQ$3:AR$3)*12,AS$3*12))*(AS$4*((1+InflationRate)^($B15-1)))</f>
        <v>0</v>
      </c>
      <c r="AT15" s="229">
        <f>MAX(0,$O15-SUM($AQ$3:AS$3)*12)*(AT$4*((1+InflationRate)^($B15-1)))</f>
        <v>0</v>
      </c>
      <c r="AU15" s="246">
        <f t="shared" si="29"/>
        <v>1.1286862672502378</v>
      </c>
      <c r="AV15" s="247">
        <f t="shared" si="30"/>
        <v>692.48187646409713</v>
      </c>
      <c r="AW15" s="228">
        <f>MAX(0,MIN($O15-SUM($AV$3:AV$3)*12,AW$3*12))*(AW$4*((1+InflationRate)^($B15-1)))</f>
        <v>0</v>
      </c>
      <c r="AX15" s="228">
        <f>MAX(0,MIN($O15-SUM($AV$3:AW$3)*12,AX$3*12))*(AX$4*((1+InflationRate)^($B15-1)))</f>
        <v>0</v>
      </c>
      <c r="AY15" s="229">
        <f>MAX(0,$O15-SUM($AV$3:AX$3)*12)*(AY$4*((1+InflationRate)^($B15-1)))</f>
        <v>0</v>
      </c>
      <c r="BB15" s="246">
        <f t="shared" si="31"/>
        <v>2.5608122244488185</v>
      </c>
      <c r="BC15" s="251">
        <f t="shared" si="35"/>
        <v>1529.5500000000002</v>
      </c>
      <c r="BD15" s="32">
        <f>MAX(0,MIN($O15-SUM($BC$3:BC$3)*12,BD$3*12))*BD$4</f>
        <v>41.58283461732718</v>
      </c>
      <c r="BE15" s="220">
        <f>MAX(0,$O15-SUM($BC$3:BD$3)*12)*BE$4</f>
        <v>0</v>
      </c>
    </row>
    <row r="16" spans="1:57" x14ac:dyDescent="0.15">
      <c r="A16" s="189">
        <f t="shared" si="14"/>
        <v>46388</v>
      </c>
      <c r="B16" s="190">
        <v>11</v>
      </c>
      <c r="C16" s="185">
        <f t="shared" si="0"/>
        <v>6000</v>
      </c>
      <c r="D16" s="159">
        <f t="shared" si="15"/>
        <v>9.2123128737794264</v>
      </c>
      <c r="E16" s="158">
        <f t="shared" si="16"/>
        <v>55273.877242676557</v>
      </c>
      <c r="F16" s="158">
        <f t="shared" si="1"/>
        <v>2519.6813643170708</v>
      </c>
      <c r="G16" s="158">
        <f t="shared" si="17"/>
        <v>57793.558606993625</v>
      </c>
      <c r="H16" s="158">
        <f t="shared" si="2"/>
        <v>5779.3558606993629</v>
      </c>
      <c r="I16" s="158">
        <f t="shared" si="3"/>
        <v>9246.9693771189795</v>
      </c>
      <c r="J16" s="157">
        <f t="shared" si="4"/>
        <v>72819.883844811964</v>
      </c>
      <c r="K16" s="187"/>
      <c r="L16" s="128">
        <f t="shared" si="5"/>
        <v>5348.7655977740405</v>
      </c>
      <c r="M16" s="156">
        <f t="shared" si="18"/>
        <v>0.93216433999924353</v>
      </c>
      <c r="N16" s="156">
        <f t="shared" si="6"/>
        <v>0.89146093296234008</v>
      </c>
      <c r="O16" s="129">
        <f t="shared" si="19"/>
        <v>651.23440222595946</v>
      </c>
      <c r="P16" s="184"/>
      <c r="Q16" s="380" t="str">
        <f>IF(OR(CFE_RateCategory="DAC",CFE_RateCategory="Tarifa 1"),IF(O15&lt;VLOOKUP(CFE_Limite,ListData!$B$30:$D$36,3,FALSE),"Tarifa "&amp;CFE_Limite,"DAC"),"Tarifa 2")</f>
        <v>Tarifa 1</v>
      </c>
      <c r="R16" s="377">
        <f t="shared" si="32"/>
        <v>1.1738337179402474</v>
      </c>
      <c r="S16" s="158">
        <f t="shared" si="20"/>
        <v>764.44089961549253</v>
      </c>
      <c r="T16" s="158">
        <f t="shared" si="21"/>
        <v>2519.6813643170708</v>
      </c>
      <c r="U16" s="158">
        <f t="shared" si="22"/>
        <v>3284.1222639325633</v>
      </c>
      <c r="V16" s="158">
        <f t="shared" si="7"/>
        <v>328.41222639325633</v>
      </c>
      <c r="W16" s="158">
        <f t="shared" si="8"/>
        <v>525.45956222921018</v>
      </c>
      <c r="X16" s="157">
        <f t="shared" si="9"/>
        <v>4137.9940525550301</v>
      </c>
      <c r="Y16" s="184"/>
      <c r="Z16" s="155">
        <f t="shared" si="23"/>
        <v>30393.336298296243</v>
      </c>
      <c r="AA16" s="154">
        <f t="shared" si="10"/>
        <v>4862.9338077273987</v>
      </c>
      <c r="AB16" s="153">
        <f t="shared" si="24"/>
        <v>35256.270106023643</v>
      </c>
      <c r="AC16" s="184"/>
      <c r="AD16" s="155">
        <f t="shared" si="25"/>
        <v>39394.264158578677</v>
      </c>
      <c r="AE16" s="154">
        <f t="shared" si="11"/>
        <v>33425.619686233287</v>
      </c>
      <c r="AF16" s="152">
        <f t="shared" si="12"/>
        <v>0.45901775615939394</v>
      </c>
      <c r="AG16" s="263"/>
      <c r="AH16" s="263"/>
      <c r="AI16" s="369"/>
      <c r="AK16" s="371">
        <f t="shared" si="33"/>
        <v>1.1738337179402474</v>
      </c>
      <c r="AL16" s="371">
        <f t="shared" si="26"/>
        <v>9.2123128737794264</v>
      </c>
      <c r="AM16" s="371">
        <f t="shared" si="13"/>
        <v>5.5926968159527375</v>
      </c>
      <c r="AN16" s="179"/>
      <c r="AO16" s="222">
        <f t="shared" si="34"/>
        <v>1.1738337179402474</v>
      </c>
      <c r="AP16" s="236">
        <f t="shared" si="27"/>
        <v>1.1738337179402474</v>
      </c>
      <c r="AQ16" s="227">
        <f t="shared" si="28"/>
        <v>764.44089961549253</v>
      </c>
      <c r="AR16" s="228">
        <f>MAX(0,MIN($O16-SUM($AQ$3:AQ$3)*12,AR$3*12))*(AR$4*((1+InflationRate)^($B16-1)))</f>
        <v>0</v>
      </c>
      <c r="AS16" s="228">
        <f>MAX(0,MIN($O16-SUM($AQ$3:AR$3)*12,AS$3*12))*(AS$4*((1+InflationRate)^($B16-1)))</f>
        <v>0</v>
      </c>
      <c r="AT16" s="229">
        <f>MAX(0,$O16-SUM($AQ$3:AS$3)*12)*(AT$4*((1+InflationRate)^($B16-1)))</f>
        <v>0</v>
      </c>
      <c r="AU16" s="246">
        <f t="shared" si="29"/>
        <v>1.1738337179402474</v>
      </c>
      <c r="AV16" s="247">
        <f t="shared" si="30"/>
        <v>764.44089961549253</v>
      </c>
      <c r="AW16" s="228">
        <f>MAX(0,MIN($O16-SUM($AV$3:AV$3)*12,AW$3*12))*(AW$4*((1+InflationRate)^($B16-1)))</f>
        <v>0</v>
      </c>
      <c r="AX16" s="228">
        <f>MAX(0,MIN($O16-SUM($AV$3:AW$3)*12,AX$3*12))*(AX$4*((1+InflationRate)^($B16-1)))</f>
        <v>0</v>
      </c>
      <c r="AY16" s="229">
        <f>MAX(0,$O16-SUM($AV$3:AX$3)*12)*(AY$4*((1+InflationRate)^($B16-1)))</f>
        <v>0</v>
      </c>
      <c r="BB16" s="246">
        <f t="shared" si="31"/>
        <v>2.5905007459812559</v>
      </c>
      <c r="BC16" s="251">
        <f t="shared" si="35"/>
        <v>1529.5500000000002</v>
      </c>
      <c r="BD16" s="32">
        <f>MAX(0,MIN($O16-SUM($BC$3:BC$3)*12,BD$3*12))*BD$4</f>
        <v>157.4732047750052</v>
      </c>
      <c r="BE16" s="220">
        <f>MAX(0,$O16-SUM($BC$3:BD$3)*12)*BE$4</f>
        <v>0</v>
      </c>
    </row>
    <row r="17" spans="1:57" x14ac:dyDescent="0.15">
      <c r="A17" s="189">
        <f t="shared" si="14"/>
        <v>46753</v>
      </c>
      <c r="B17" s="190">
        <v>12</v>
      </c>
      <c r="C17" s="185">
        <f t="shared" si="0"/>
        <v>6000</v>
      </c>
      <c r="D17" s="159">
        <f t="shared" si="15"/>
        <v>9.9492979036817815</v>
      </c>
      <c r="E17" s="158">
        <f t="shared" si="16"/>
        <v>59695.787422090689</v>
      </c>
      <c r="F17" s="158">
        <f t="shared" si="1"/>
        <v>2721.2558734624363</v>
      </c>
      <c r="G17" s="158">
        <f t="shared" si="17"/>
        <v>62417.043295553129</v>
      </c>
      <c r="H17" s="158">
        <f t="shared" si="2"/>
        <v>6241.7043295553131</v>
      </c>
      <c r="I17" s="158">
        <f t="shared" si="3"/>
        <v>9986.7269272885005</v>
      </c>
      <c r="J17" s="157">
        <f t="shared" si="4"/>
        <v>78645.474552396947</v>
      </c>
      <c r="K17" s="187"/>
      <c r="L17" s="128">
        <f t="shared" si="5"/>
        <v>5311.3242385896219</v>
      </c>
      <c r="M17" s="156">
        <f t="shared" si="18"/>
        <v>0.92563918961924885</v>
      </c>
      <c r="N17" s="156">
        <f t="shared" si="6"/>
        <v>0.88522070643160367</v>
      </c>
      <c r="O17" s="129">
        <f t="shared" si="19"/>
        <v>688.67576141037807</v>
      </c>
      <c r="P17" s="184"/>
      <c r="Q17" s="380" t="str">
        <f>IF(OR(CFE_RateCategory="DAC",CFE_RateCategory="Tarifa 1"),IF(O16&lt;VLOOKUP(CFE_Limite,ListData!$B$30:$D$36,3,FALSE),"Tarifa "&amp;CFE_Limite,"DAC"),"Tarifa 2")</f>
        <v>Tarifa 1</v>
      </c>
      <c r="R17" s="377">
        <f t="shared" si="32"/>
        <v>1.2207870666578571</v>
      </c>
      <c r="S17" s="158">
        <f t="shared" si="20"/>
        <v>840.72646265054175</v>
      </c>
      <c r="T17" s="158">
        <f t="shared" si="21"/>
        <v>2721.2558734624363</v>
      </c>
      <c r="U17" s="158">
        <f t="shared" si="22"/>
        <v>3561.9823361129779</v>
      </c>
      <c r="V17" s="158">
        <f t="shared" si="7"/>
        <v>356.19823361129784</v>
      </c>
      <c r="W17" s="158">
        <f t="shared" si="8"/>
        <v>569.91717377807652</v>
      </c>
      <c r="X17" s="157">
        <f t="shared" si="9"/>
        <v>4488.0977435023524</v>
      </c>
      <c r="Y17" s="184"/>
      <c r="Z17" s="155">
        <f t="shared" si="23"/>
        <v>31457.103068736607</v>
      </c>
      <c r="AA17" s="154">
        <f t="shared" si="10"/>
        <v>5033.1364909978574</v>
      </c>
      <c r="AB17" s="153">
        <f t="shared" si="24"/>
        <v>36490.239559734466</v>
      </c>
      <c r="AC17" s="184"/>
      <c r="AD17" s="155">
        <f t="shared" si="25"/>
        <v>40978.337303236818</v>
      </c>
      <c r="AE17" s="154">
        <f t="shared" si="11"/>
        <v>37667.137249160129</v>
      </c>
      <c r="AF17" s="152">
        <f t="shared" si="12"/>
        <v>0.47894856587157708</v>
      </c>
      <c r="AG17" s="263"/>
      <c r="AH17" s="263"/>
      <c r="AI17" s="369"/>
      <c r="AK17" s="371">
        <f t="shared" si="33"/>
        <v>1.2207870666578571</v>
      </c>
      <c r="AL17" s="371">
        <f t="shared" si="26"/>
        <v>9.9492979036817815</v>
      </c>
      <c r="AM17" s="371">
        <f t="shared" si="13"/>
        <v>6.1013503502459256</v>
      </c>
      <c r="AN17" s="179"/>
      <c r="AO17" s="222">
        <f t="shared" si="34"/>
        <v>1.2207870666578571</v>
      </c>
      <c r="AP17" s="236">
        <f t="shared" si="27"/>
        <v>1.2207870666578571</v>
      </c>
      <c r="AQ17" s="227">
        <f t="shared" si="28"/>
        <v>840.72646265054175</v>
      </c>
      <c r="AR17" s="228">
        <f>MAX(0,MIN($O17-SUM($AQ$3:AQ$3)*12,AR$3*12))*(AR$4*((1+InflationRate)^($B17-1)))</f>
        <v>0</v>
      </c>
      <c r="AS17" s="228">
        <f>MAX(0,MIN($O17-SUM($AQ$3:AR$3)*12,AS$3*12))*(AS$4*((1+InflationRate)^($B17-1)))</f>
        <v>0</v>
      </c>
      <c r="AT17" s="229">
        <f>MAX(0,$O17-SUM($AQ$3:AS$3)*12)*(AT$4*((1+InflationRate)^($B17-1)))</f>
        <v>0</v>
      </c>
      <c r="AU17" s="246">
        <f t="shared" si="29"/>
        <v>1.2207870666578571</v>
      </c>
      <c r="AV17" s="247">
        <f t="shared" si="30"/>
        <v>840.72646265054175</v>
      </c>
      <c r="AW17" s="228">
        <f>MAX(0,MIN($O17-SUM($AV$3:AV$3)*12,AW$3*12))*(AW$4*((1+InflationRate)^($B17-1)))</f>
        <v>0</v>
      </c>
      <c r="AX17" s="228">
        <f>MAX(0,MIN($O17-SUM($AV$3:AW$3)*12,AX$3*12))*(AX$4*((1+InflationRate)^($B17-1)))</f>
        <v>0</v>
      </c>
      <c r="AY17" s="229">
        <f>MAX(0,$O17-SUM($AV$3:AX$3)*12)*(AY$4*((1+InflationRate)^($B17-1)))</f>
        <v>0</v>
      </c>
      <c r="BB17" s="246">
        <f t="shared" si="31"/>
        <v>2.6167645840343705</v>
      </c>
      <c r="BC17" s="251">
        <f t="shared" si="35"/>
        <v>1529.5500000000002</v>
      </c>
      <c r="BD17" s="32">
        <f>MAX(0,MIN($O17-SUM($BC$3:BC$3)*12,BD$3*12))*BD$4</f>
        <v>272.55234234158121</v>
      </c>
      <c r="BE17" s="220">
        <f>MAX(0,$O17-SUM($BC$3:BD$3)*12)*BE$4</f>
        <v>0</v>
      </c>
    </row>
    <row r="18" spans="1:57" x14ac:dyDescent="0.15">
      <c r="A18" s="189">
        <f t="shared" si="14"/>
        <v>47119</v>
      </c>
      <c r="B18" s="190">
        <v>13</v>
      </c>
      <c r="C18" s="185">
        <f t="shared" si="0"/>
        <v>6000</v>
      </c>
      <c r="D18" s="159">
        <f t="shared" si="15"/>
        <v>10.745241735976325</v>
      </c>
      <c r="E18" s="158">
        <f t="shared" si="16"/>
        <v>64471.450415857951</v>
      </c>
      <c r="F18" s="158">
        <f t="shared" si="1"/>
        <v>2938.9563433394314</v>
      </c>
      <c r="G18" s="158">
        <f t="shared" si="17"/>
        <v>67410.406759197387</v>
      </c>
      <c r="H18" s="158">
        <f t="shared" si="2"/>
        <v>6741.0406759197394</v>
      </c>
      <c r="I18" s="158">
        <f t="shared" si="3"/>
        <v>10785.665081471581</v>
      </c>
      <c r="J18" s="157">
        <f t="shared" si="4"/>
        <v>84937.112516588706</v>
      </c>
      <c r="K18" s="187"/>
      <c r="L18" s="128">
        <f t="shared" si="5"/>
        <v>5274.1449689194951</v>
      </c>
      <c r="M18" s="156">
        <f t="shared" si="18"/>
        <v>0.91915971529191409</v>
      </c>
      <c r="N18" s="156">
        <f t="shared" si="6"/>
        <v>0.87902416148658247</v>
      </c>
      <c r="O18" s="129">
        <f t="shared" si="19"/>
        <v>725.85503108050489</v>
      </c>
      <c r="P18" s="184"/>
      <c r="Q18" s="380" t="str">
        <f>IF(OR(CFE_RateCategory="DAC",CFE_RateCategory="Tarifa 1"),IF(O17&lt;VLOOKUP(CFE_Limite,ListData!$B$30:$D$36,3,FALSE),"Tarifa "&amp;CFE_Limite,"DAC"),"Tarifa 2")</f>
        <v>Tarifa 1</v>
      </c>
      <c r="R18" s="377">
        <f t="shared" si="32"/>
        <v>1.2696185493241716</v>
      </c>
      <c r="S18" s="158">
        <f t="shared" si="20"/>
        <v>921.55901158008214</v>
      </c>
      <c r="T18" s="158">
        <f t="shared" si="21"/>
        <v>2938.9563433394314</v>
      </c>
      <c r="U18" s="158">
        <f t="shared" si="22"/>
        <v>3860.5153549195138</v>
      </c>
      <c r="V18" s="158">
        <f t="shared" si="7"/>
        <v>386.05153549195143</v>
      </c>
      <c r="W18" s="158">
        <f t="shared" si="8"/>
        <v>617.68245678712219</v>
      </c>
      <c r="X18" s="157">
        <f t="shared" si="9"/>
        <v>4864.2493471985872</v>
      </c>
      <c r="Y18" s="184"/>
      <c r="Z18" s="155">
        <f t="shared" si="23"/>
        <v>32558.101676142385</v>
      </c>
      <c r="AA18" s="154">
        <f t="shared" si="10"/>
        <v>5209.2962681827821</v>
      </c>
      <c r="AB18" s="153">
        <f t="shared" si="24"/>
        <v>37767.397944325166</v>
      </c>
      <c r="AC18" s="184"/>
      <c r="AD18" s="155">
        <f t="shared" si="25"/>
        <v>42631.647291523754</v>
      </c>
      <c r="AE18" s="154">
        <f t="shared" si="11"/>
        <v>42305.465225064952</v>
      </c>
      <c r="AF18" s="152">
        <f t="shared" si="12"/>
        <v>0.49807986134214832</v>
      </c>
      <c r="AG18" s="263"/>
      <c r="AH18" s="263"/>
      <c r="AI18" s="369"/>
      <c r="AK18" s="371">
        <f t="shared" si="33"/>
        <v>1.2696185493241716</v>
      </c>
      <c r="AL18" s="371">
        <f t="shared" si="26"/>
        <v>10.745241735976325</v>
      </c>
      <c r="AM18" s="371">
        <f t="shared" si="13"/>
        <v>6.6483807133262793</v>
      </c>
      <c r="AN18" s="179"/>
      <c r="AO18" s="222">
        <f t="shared" si="34"/>
        <v>1.2696185493241716</v>
      </c>
      <c r="AP18" s="236">
        <f t="shared" si="27"/>
        <v>1.2696185493241716</v>
      </c>
      <c r="AQ18" s="227">
        <f t="shared" si="28"/>
        <v>921.55901158008214</v>
      </c>
      <c r="AR18" s="228">
        <f>MAX(0,MIN($O18-SUM($AQ$3:AQ$3)*12,AR$3*12))*(AR$4*((1+InflationRate)^($B18-1)))</f>
        <v>0</v>
      </c>
      <c r="AS18" s="228">
        <f>MAX(0,MIN($O18-SUM($AQ$3:AR$3)*12,AS$3*12))*(AS$4*((1+InflationRate)^($B18-1)))</f>
        <v>0</v>
      </c>
      <c r="AT18" s="229">
        <f>MAX(0,$O18-SUM($AQ$3:AS$3)*12)*(AT$4*((1+InflationRate)^($B18-1)))</f>
        <v>0</v>
      </c>
      <c r="AU18" s="246">
        <f t="shared" si="29"/>
        <v>1.2696185493241716</v>
      </c>
      <c r="AV18" s="247">
        <f t="shared" si="30"/>
        <v>921.55901158008214</v>
      </c>
      <c r="AW18" s="228">
        <f>MAX(0,MIN($O18-SUM($AV$3:AV$3)*12,AW$3*12))*(AW$4*((1+InflationRate)^($B18-1)))</f>
        <v>0</v>
      </c>
      <c r="AX18" s="228">
        <f>MAX(0,MIN($O18-SUM($AV$3:AW$3)*12,AX$3*12))*(AX$4*((1+InflationRate)^($B18-1)))</f>
        <v>0</v>
      </c>
      <c r="AY18" s="229">
        <f>MAX(0,$O18-SUM($AV$3:AX$3)*12)*(AY$4*((1+InflationRate)^($B18-1)))</f>
        <v>0</v>
      </c>
      <c r="BB18" s="246">
        <f t="shared" si="31"/>
        <v>2.6401634539785155</v>
      </c>
      <c r="BC18" s="251">
        <f t="shared" si="35"/>
        <v>1529.5500000000002</v>
      </c>
      <c r="BD18" s="32">
        <f>MAX(0,MIN($O18-SUM($BC$3:BC$3)*12,BD$3*12))*BD$4</f>
        <v>386.82592594518843</v>
      </c>
      <c r="BE18" s="220">
        <f>MAX(0,$O18-SUM($BC$3:BD$3)*12)*BE$4</f>
        <v>0</v>
      </c>
    </row>
    <row r="19" spans="1:57" x14ac:dyDescent="0.15">
      <c r="A19" s="189">
        <f t="shared" si="14"/>
        <v>47484</v>
      </c>
      <c r="B19" s="190">
        <v>14</v>
      </c>
      <c r="C19" s="185">
        <f t="shared" si="0"/>
        <v>6000</v>
      </c>
      <c r="D19" s="159">
        <f t="shared" si="15"/>
        <v>11.604861074854432</v>
      </c>
      <c r="E19" s="158">
        <f t="shared" si="16"/>
        <v>69629.166449126584</v>
      </c>
      <c r="F19" s="158">
        <f t="shared" si="1"/>
        <v>3174.0728508065858</v>
      </c>
      <c r="G19" s="158">
        <f t="shared" si="17"/>
        <v>72803.239299933164</v>
      </c>
      <c r="H19" s="158">
        <f t="shared" si="2"/>
        <v>7280.3239299933166</v>
      </c>
      <c r="I19" s="158">
        <f t="shared" si="3"/>
        <v>11648.518287989307</v>
      </c>
      <c r="J19" s="157">
        <f t="shared" si="4"/>
        <v>91732.081517915794</v>
      </c>
      <c r="K19" s="187"/>
      <c r="L19" s="128">
        <f t="shared" si="5"/>
        <v>5237.2259541370586</v>
      </c>
      <c r="M19" s="156">
        <f t="shared" si="18"/>
        <v>0.91272559728487068</v>
      </c>
      <c r="N19" s="156">
        <f t="shared" si="6"/>
        <v>0.87287099235617638</v>
      </c>
      <c r="O19" s="129">
        <f t="shared" si="19"/>
        <v>762.77404586294142</v>
      </c>
      <c r="P19" s="184"/>
      <c r="Q19" s="380" t="str">
        <f>IF(OR(CFE_RateCategory="DAC",CFE_RateCategory="Tarifa 1"),IF(O18&lt;VLOOKUP(CFE_Limite,ListData!$B$30:$D$36,3,FALSE),"Tarifa "&amp;CFE_Limite,"DAC"),"Tarifa 2")</f>
        <v>Tarifa 1</v>
      </c>
      <c r="R19" s="377">
        <f t="shared" si="32"/>
        <v>1.3204032912971386</v>
      </c>
      <c r="S19" s="158">
        <f t="shared" si="20"/>
        <v>1007.1693606734624</v>
      </c>
      <c r="T19" s="158">
        <f t="shared" si="21"/>
        <v>3174.0728508065858</v>
      </c>
      <c r="U19" s="158">
        <f t="shared" si="22"/>
        <v>4181.2422114800484</v>
      </c>
      <c r="V19" s="158">
        <f t="shared" si="7"/>
        <v>418.12422114800484</v>
      </c>
      <c r="W19" s="158">
        <f t="shared" si="8"/>
        <v>668.99875383680774</v>
      </c>
      <c r="X19" s="157">
        <f t="shared" si="9"/>
        <v>5268.3651864648609</v>
      </c>
      <c r="Y19" s="184"/>
      <c r="Z19" s="155">
        <f t="shared" si="23"/>
        <v>33697.635234807363</v>
      </c>
      <c r="AA19" s="154">
        <f t="shared" si="10"/>
        <v>5391.6216375691783</v>
      </c>
      <c r="AB19" s="153">
        <f t="shared" si="24"/>
        <v>39089.256872376543</v>
      </c>
      <c r="AC19" s="184"/>
      <c r="AD19" s="155">
        <f t="shared" si="25"/>
        <v>44357.622058841407</v>
      </c>
      <c r="AE19" s="154">
        <f t="shared" si="11"/>
        <v>47374.459459074387</v>
      </c>
      <c r="AF19" s="152">
        <f t="shared" si="12"/>
        <v>0.51644374220181499</v>
      </c>
      <c r="AG19" s="263"/>
      <c r="AH19" s="263"/>
      <c r="AI19" s="369"/>
      <c r="AK19" s="371">
        <f t="shared" si="33"/>
        <v>1.3204032912971386</v>
      </c>
      <c r="AL19" s="371">
        <f t="shared" si="26"/>
        <v>11.604861074854432</v>
      </c>
      <c r="AM19" s="371">
        <f t="shared" si="13"/>
        <v>7.2373032978634555</v>
      </c>
      <c r="AN19" s="179"/>
      <c r="AO19" s="222">
        <f t="shared" si="34"/>
        <v>1.3204032912971386</v>
      </c>
      <c r="AP19" s="236">
        <f t="shared" si="27"/>
        <v>1.3204032912971386</v>
      </c>
      <c r="AQ19" s="227">
        <f t="shared" si="28"/>
        <v>1007.1693606734624</v>
      </c>
      <c r="AR19" s="228">
        <f>MAX(0,MIN($O19-SUM($AQ$3:AQ$3)*12,AR$3*12))*(AR$4*((1+InflationRate)^($B19-1)))</f>
        <v>0</v>
      </c>
      <c r="AS19" s="228">
        <f>MAX(0,MIN($O19-SUM($AQ$3:AR$3)*12,AS$3*12))*(AS$4*((1+InflationRate)^($B19-1)))</f>
        <v>0</v>
      </c>
      <c r="AT19" s="229">
        <f>MAX(0,$O19-SUM($AQ$3:AS$3)*12)*(AT$4*((1+InflationRate)^($B19-1)))</f>
        <v>0</v>
      </c>
      <c r="AU19" s="246">
        <f t="shared" si="29"/>
        <v>1.3204032912971386</v>
      </c>
      <c r="AV19" s="247">
        <f t="shared" si="30"/>
        <v>1007.1693606734624</v>
      </c>
      <c r="AW19" s="228">
        <f>MAX(0,MIN($O19-SUM($AV$3:AV$3)*12,AW$3*12))*(AW$4*((1+InflationRate)^($B19-1)))</f>
        <v>0</v>
      </c>
      <c r="AX19" s="228">
        <f>MAX(0,MIN($O19-SUM($AV$3:AW$3)*12,AX$3*12))*(AX$4*((1+InflationRate)^($B19-1)))</f>
        <v>0</v>
      </c>
      <c r="AY19" s="229">
        <f>MAX(0,$O19-SUM($AV$3:AX$3)*12)*(AY$4*((1+InflationRate)^($B19-1)))</f>
        <v>0</v>
      </c>
      <c r="BB19" s="246">
        <f t="shared" si="31"/>
        <v>2.6611414028477638</v>
      </c>
      <c r="BC19" s="251">
        <f t="shared" si="35"/>
        <v>1529.5500000000002</v>
      </c>
      <c r="BD19" s="32">
        <f>MAX(0,MIN($O19-SUM($BC$3:BC$3)*12,BD$3*12))*BD$4</f>
        <v>500.2995944635723</v>
      </c>
      <c r="BE19" s="220">
        <f>MAX(0,$O19-SUM($BC$3:BD$3)*12)*BE$4</f>
        <v>0</v>
      </c>
    </row>
    <row r="20" spans="1:57" x14ac:dyDescent="0.15">
      <c r="A20" s="189">
        <f t="shared" si="14"/>
        <v>47849</v>
      </c>
      <c r="B20" s="190">
        <v>15</v>
      </c>
      <c r="C20" s="185">
        <f t="shared" si="0"/>
        <v>6000</v>
      </c>
      <c r="D20" s="151">
        <f t="shared" si="15"/>
        <v>12.533249960842786</v>
      </c>
      <c r="E20" s="150">
        <f t="shared" si="16"/>
        <v>75199.499765056724</v>
      </c>
      <c r="F20" s="150">
        <f t="shared" si="1"/>
        <v>3427.998678871114</v>
      </c>
      <c r="G20" s="150">
        <f t="shared" si="17"/>
        <v>78627.498443927834</v>
      </c>
      <c r="H20" s="150">
        <f t="shared" si="2"/>
        <v>7862.7498443927834</v>
      </c>
      <c r="I20" s="150">
        <f t="shared" si="3"/>
        <v>12580.399751028453</v>
      </c>
      <c r="J20" s="149">
        <f t="shared" si="4"/>
        <v>99070.648039349064</v>
      </c>
      <c r="K20" s="187"/>
      <c r="L20" s="130">
        <f t="shared" si="5"/>
        <v>5200.5653724580989</v>
      </c>
      <c r="M20" s="148">
        <f t="shared" si="18"/>
        <v>0.90633651810387661</v>
      </c>
      <c r="N20" s="148">
        <f t="shared" si="6"/>
        <v>0.86676089540968315</v>
      </c>
      <c r="O20" s="131">
        <f t="shared" si="19"/>
        <v>799.43462754190114</v>
      </c>
      <c r="P20" s="184"/>
      <c r="Q20" s="381" t="str">
        <f>IF(OR(CFE_RateCategory="DAC",CFE_RateCategory="Tarifa 1"),IF(O19&lt;VLOOKUP(CFE_Limite,ListData!$B$30:$D$36,3,FALSE),"Tarifa "&amp;CFE_Limite,"DAC"),"Tarifa 2")</f>
        <v>Tarifa 1</v>
      </c>
      <c r="R20" s="378">
        <f t="shared" si="32"/>
        <v>1.3732194229490242</v>
      </c>
      <c r="S20" s="150">
        <f t="shared" si="20"/>
        <v>1097.7991579185575</v>
      </c>
      <c r="T20" s="150">
        <f t="shared" si="21"/>
        <v>3427.998678871114</v>
      </c>
      <c r="U20" s="150">
        <f t="shared" si="22"/>
        <v>4525.7978367896712</v>
      </c>
      <c r="V20" s="150">
        <f t="shared" si="7"/>
        <v>452.57978367896715</v>
      </c>
      <c r="W20" s="150">
        <f t="shared" si="8"/>
        <v>724.12765388634739</v>
      </c>
      <c r="X20" s="149">
        <f t="shared" si="9"/>
        <v>5702.5052743549859</v>
      </c>
      <c r="Y20" s="184"/>
      <c r="Z20" s="147">
        <f t="shared" si="23"/>
        <v>34877.05246802562</v>
      </c>
      <c r="AA20" s="146">
        <f t="shared" si="10"/>
        <v>5580.328394884099</v>
      </c>
      <c r="AB20" s="145">
        <f t="shared" si="24"/>
        <v>40457.380862909718</v>
      </c>
      <c r="AC20" s="184"/>
      <c r="AD20" s="147">
        <f t="shared" si="25"/>
        <v>46159.886137264708</v>
      </c>
      <c r="AE20" s="146">
        <f t="shared" si="11"/>
        <v>52910.761902084356</v>
      </c>
      <c r="AF20" s="144">
        <f t="shared" si="12"/>
        <v>0.53407101850256555</v>
      </c>
      <c r="AG20" s="263"/>
      <c r="AH20" s="263"/>
      <c r="AI20" s="369"/>
      <c r="AK20" s="372">
        <f t="shared" si="33"/>
        <v>1.3732194229490242</v>
      </c>
      <c r="AL20" s="372">
        <f t="shared" si="26"/>
        <v>12.533249960842786</v>
      </c>
      <c r="AM20" s="372">
        <f t="shared" si="13"/>
        <v>7.8718411074506944</v>
      </c>
      <c r="AN20" s="179"/>
      <c r="AO20" s="222">
        <f t="shared" si="34"/>
        <v>1.3732194229490242</v>
      </c>
      <c r="AP20" s="237">
        <f t="shared" si="27"/>
        <v>1.3732194229490242</v>
      </c>
      <c r="AQ20" s="230">
        <f t="shared" si="28"/>
        <v>1097.7991579185575</v>
      </c>
      <c r="AR20" s="231">
        <f>MAX(0,MIN($O20-SUM($AQ$3:AQ$3)*12,AR$3*12))*(AR$4*((1+InflationRate)^($B20-1)))</f>
        <v>0</v>
      </c>
      <c r="AS20" s="231">
        <f>MAX(0,MIN($O20-SUM($AQ$3:AR$3)*12,AS$3*12))*(AS$4*((1+InflationRate)^($B20-1)))</f>
        <v>0</v>
      </c>
      <c r="AT20" s="232">
        <f>MAX(0,$O20-SUM($AQ$3:AS$3)*12)*(AT$4*((1+InflationRate)^($B20-1)))</f>
        <v>0</v>
      </c>
      <c r="AU20" s="248">
        <f t="shared" si="29"/>
        <v>1.3732194229490242</v>
      </c>
      <c r="AV20" s="249">
        <f t="shared" si="30"/>
        <v>1097.7991579185575</v>
      </c>
      <c r="AW20" s="231">
        <f>MAX(0,MIN($O20-SUM($AV$3:AV$3)*12,AW$3*12))*(AW$4*((1+InflationRate)^($B20-1)))</f>
        <v>0</v>
      </c>
      <c r="AX20" s="231">
        <f>MAX(0,MIN($O20-SUM($AV$3:AW$3)*12,AX$3*12))*(AX$4*((1+InflationRate)^($B20-1)))</f>
        <v>0</v>
      </c>
      <c r="AY20" s="232">
        <f>MAX(0,$O20-SUM($AV$3:AX$3)*12)*(AY$4*((1+InflationRate)^($B20-1)))</f>
        <v>0</v>
      </c>
      <c r="BB20" s="248">
        <f t="shared" si="31"/>
        <v>2.6800552208880033</v>
      </c>
      <c r="BC20" s="252">
        <f t="shared" si="35"/>
        <v>1529.5500000000002</v>
      </c>
      <c r="BD20" s="40">
        <f>MAX(0,MIN($O20-SUM($BC$3:BC$3)*12,BD$3*12))*BD$4</f>
        <v>612.97894730232827</v>
      </c>
      <c r="BE20" s="221">
        <f>MAX(0,$O20-SUM($BC$3:BD$3)*12)*BE$4</f>
        <v>0</v>
      </c>
    </row>
  </sheetData>
  <sheetProtection selectLockedCells="1" selectUnlockedCells="1"/>
  <mergeCells count="11">
    <mergeCell ref="AO2:AO3"/>
    <mergeCell ref="AK2:AM3"/>
    <mergeCell ref="BB1:BE1"/>
    <mergeCell ref="D1:J1"/>
    <mergeCell ref="L1:O1"/>
    <mergeCell ref="Z1:AB1"/>
    <mergeCell ref="AD1:AF1"/>
    <mergeCell ref="AH1:AI1"/>
    <mergeCell ref="AP1:AT1"/>
    <mergeCell ref="AU1:AY1"/>
    <mergeCell ref="Q1:X1"/>
  </mergeCells>
  <pageMargins left="0.74791666666666667" right="0.74791666666666667" top="0.98402777777777772" bottom="0.98402777777777772" header="0.51180555555555551" footer="0.51180555555555551"/>
  <pageSetup firstPageNumber="0"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65"/>
  <sheetViews>
    <sheetView zoomScaleNormal="100" zoomScalePageLayoutView="200" workbookViewId="0">
      <pane xSplit="1" ySplit="2" topLeftCell="B3" activePane="bottomRight" state="frozen"/>
      <selection activeCell="R7" sqref="R7"/>
      <selection pane="topRight" activeCell="R7" sqref="R7"/>
      <selection pane="bottomLeft" activeCell="R7" sqref="R7"/>
      <selection pane="bottomRight" activeCell="B3" sqref="B3"/>
    </sheetView>
  </sheetViews>
  <sheetFormatPr defaultColWidth="11.42578125" defaultRowHeight="10.5" x14ac:dyDescent="0.15"/>
  <cols>
    <col min="1" max="1" width="14" style="57" bestFit="1" customWidth="1"/>
    <col min="2" max="2" width="23.85546875" style="57" bestFit="1" customWidth="1"/>
    <col min="3" max="3" width="7.28515625" style="28" bestFit="1" customWidth="1"/>
    <col min="4" max="4" width="36" style="28" bestFit="1" customWidth="1"/>
    <col min="5" max="5" width="12" style="28" bestFit="1" customWidth="1"/>
    <col min="6" max="6" width="6.85546875" style="29" bestFit="1" customWidth="1"/>
    <col min="7" max="16384" width="11.42578125" style="57"/>
  </cols>
  <sheetData>
    <row r="1" spans="1:6" x14ac:dyDescent="0.15">
      <c r="A1" s="36" t="s">
        <v>0</v>
      </c>
      <c r="B1" s="61">
        <f>Inputs_MySOL!$G$17</f>
        <v>3250</v>
      </c>
      <c r="D1" s="29"/>
      <c r="E1" s="29"/>
    </row>
    <row r="2" spans="1:6" x14ac:dyDescent="0.15">
      <c r="A2" s="36" t="s">
        <v>1</v>
      </c>
      <c r="C2" s="28" t="s">
        <v>153</v>
      </c>
      <c r="D2" s="35" t="s">
        <v>75</v>
      </c>
      <c r="E2" s="35" t="s">
        <v>839</v>
      </c>
      <c r="F2" s="35" t="s">
        <v>66</v>
      </c>
    </row>
    <row r="3" spans="1:6" x14ac:dyDescent="0.15">
      <c r="A3" s="57" t="s">
        <v>467</v>
      </c>
      <c r="B3" s="57" t="str">
        <f>Inputs!D4</f>
        <v>PV Panels</v>
      </c>
      <c r="C3" s="37">
        <f t="shared" ref="C3:C8" si="0">IFERROR(E3*F3/$B$1,"NaN")</f>
        <v>0.44</v>
      </c>
      <c r="D3" s="38" t="str">
        <f>VLOOKUP($B3,Inputs!$D$4:$F$9,3,FALSE)</f>
        <v>Trina Solar_TSM-325PT</v>
      </c>
      <c r="E3" s="188">
        <f>IFERROR(VLOOKUP(D3,Components!$A$2:$N$117,4,FALSE),"NaN")</f>
        <v>143</v>
      </c>
      <c r="F3" s="110">
        <f>VLOOKUP($B3,Inputs!$D$4:$I$9,6,FALSE)</f>
        <v>10</v>
      </c>
    </row>
    <row r="4" spans="1:6" x14ac:dyDescent="0.15">
      <c r="B4" s="57" t="str">
        <f>Inputs!D5</f>
        <v>Inverters</v>
      </c>
      <c r="C4" s="37">
        <f t="shared" si="0"/>
        <v>0.26171384615384619</v>
      </c>
      <c r="D4" s="38" t="str">
        <f>VLOOKUP($B4,Inputs!$D$4:$F$9,3,FALSE)</f>
        <v>KACO_blueplanet 3.0 TL1 M2 WM OD US33</v>
      </c>
      <c r="E4" s="188">
        <f>IFERROR(VLOOKUP(D4,Components!$A$2:$N$117,4,FALSE),"NaN")</f>
        <v>850.57</v>
      </c>
      <c r="F4" s="110">
        <f>VLOOKUP($B4,Inputs!$D$4:$I$9,6,FALSE)</f>
        <v>1</v>
      </c>
    </row>
    <row r="5" spans="1:6" x14ac:dyDescent="0.15">
      <c r="B5" s="57" t="str">
        <f>Inputs!D6</f>
        <v>Optimizer</v>
      </c>
      <c r="C5" s="37">
        <f t="shared" si="0"/>
        <v>0</v>
      </c>
      <c r="D5" s="38" t="str">
        <f>VLOOKUP($B5,Inputs!$D$4:$F$9,3,FALSE)</f>
        <v>Tigo_TS4-D</v>
      </c>
      <c r="E5" s="188">
        <f>IFERROR(VLOOKUP(D5,Components!$A$2:$N$117,4,FALSE),"NaN")</f>
        <v>0</v>
      </c>
      <c r="F5" s="110">
        <f>VLOOKUP($B5,Inputs!$D$4:$I$9,6,FALSE)</f>
        <v>0</v>
      </c>
    </row>
    <row r="6" spans="1:6" x14ac:dyDescent="0.15">
      <c r="B6" s="57" t="str">
        <f>Inputs!D7</f>
        <v>System Monitoring</v>
      </c>
      <c r="C6" s="37">
        <f t="shared" si="0"/>
        <v>0</v>
      </c>
      <c r="D6" s="38" t="str">
        <f>VLOOKUP($B6,Inputs!$D$4:$F$9,3,FALSE)</f>
        <v>TIGO_CCA-PS-INT</v>
      </c>
      <c r="E6" s="188">
        <f>IFERROR(VLOOKUP(D6,Components!$A$2:$N$117,4,FALSE),"NaN")</f>
        <v>211.2</v>
      </c>
      <c r="F6" s="110">
        <f>VLOOKUP($B6,Inputs!$D$4:$I$9,6,FALSE)</f>
        <v>0</v>
      </c>
    </row>
    <row r="7" spans="1:6" x14ac:dyDescent="0.15">
      <c r="B7" s="57" t="str">
        <f>Inputs!D8</f>
        <v>Consumption Monitoring</v>
      </c>
      <c r="C7" s="37">
        <f t="shared" si="0"/>
        <v>0</v>
      </c>
      <c r="D7" s="38" t="str">
        <f>VLOOKUP($B7,Inputs!$D$4:$F$9,3,FALSE)</f>
        <v>E-Gauge</v>
      </c>
      <c r="E7" s="188">
        <f>IFERROR(VLOOKUP(D7,Components!$A$2:$N$117,4,FALSE),"NaN")</f>
        <v>304</v>
      </c>
      <c r="F7" s="110">
        <f>VLOOKUP($B7,Inputs!$D$4:$I$9,6,FALSE)</f>
        <v>0</v>
      </c>
    </row>
    <row r="8" spans="1:6" x14ac:dyDescent="0.15">
      <c r="B8" s="57" t="str">
        <f>Inputs!D9</f>
        <v>Comm Accessory</v>
      </c>
      <c r="C8" s="37">
        <f t="shared" si="0"/>
        <v>0</v>
      </c>
      <c r="D8" s="38" t="str">
        <f>VLOOKUP($B8,Inputs!$D$4:$F$9,3,FALSE)</f>
        <v>TIGO_GTWY-WCOMM</v>
      </c>
      <c r="E8" s="188">
        <f>IFERROR(VLOOKUP(D8,Components!$A$2:$N$117,4,FALSE),"NaN")</f>
        <v>64</v>
      </c>
      <c r="F8" s="110">
        <f>VLOOKUP($B8,Inputs!$D$4:$I$9,6,FALSE)</f>
        <v>0</v>
      </c>
    </row>
    <row r="9" spans="1:6" x14ac:dyDescent="0.15">
      <c r="B9" s="57" t="s">
        <v>1030</v>
      </c>
      <c r="C9" s="37">
        <f>C36/MXNperUSD</f>
        <v>3.888888888888889E-2</v>
      </c>
      <c r="D9" s="38"/>
      <c r="E9" s="188"/>
      <c r="F9" s="110"/>
    </row>
    <row r="10" spans="1:6" x14ac:dyDescent="0.15">
      <c r="B10" s="57" t="s">
        <v>67</v>
      </c>
      <c r="C10" s="37">
        <f>SUM(C3:C9)</f>
        <v>0.74060273504273499</v>
      </c>
      <c r="D10" s="42"/>
      <c r="E10" s="60">
        <f>SUMPRODUCT(E3:E8,F3:F8)</f>
        <v>2280.5700000000002</v>
      </c>
      <c r="F10" s="39"/>
    </row>
    <row r="11" spans="1:6" x14ac:dyDescent="0.15">
      <c r="C11" s="57"/>
      <c r="D11" s="57"/>
      <c r="E11" s="60"/>
      <c r="F11" s="39"/>
    </row>
    <row r="12" spans="1:6" x14ac:dyDescent="0.15">
      <c r="A12" s="57" t="s">
        <v>838</v>
      </c>
      <c r="B12" s="57" t="s">
        <v>6</v>
      </c>
      <c r="C12" s="34">
        <f>C39/Inputs_MySOL!$B$2</f>
        <v>0.17222222222222222</v>
      </c>
      <c r="D12" s="57"/>
      <c r="E12" s="43">
        <f t="shared" ref="E12:E17" si="1">C12*$B$1</f>
        <v>559.72222222222217</v>
      </c>
      <c r="F12" s="107"/>
    </row>
    <row r="13" spans="1:6" x14ac:dyDescent="0.15">
      <c r="B13" s="57" t="s">
        <v>7</v>
      </c>
      <c r="C13" s="34">
        <f>C40/Inputs_MySOL!$B$2</f>
        <v>0.14444444444444446</v>
      </c>
      <c r="D13" s="57"/>
      <c r="E13" s="43">
        <f t="shared" si="1"/>
        <v>469.44444444444451</v>
      </c>
      <c r="F13" s="107"/>
    </row>
    <row r="14" spans="1:6" x14ac:dyDescent="0.15">
      <c r="B14" s="57" t="s">
        <v>8</v>
      </c>
      <c r="C14" s="34">
        <f>C41/Inputs_MySOL!$B$2</f>
        <v>8.1666666666666665E-2</v>
      </c>
      <c r="D14" s="42"/>
      <c r="E14" s="43">
        <f t="shared" si="1"/>
        <v>265.41666666666669</v>
      </c>
      <c r="F14" s="107"/>
    </row>
    <row r="15" spans="1:6" x14ac:dyDescent="0.15">
      <c r="B15" s="57" t="s">
        <v>115</v>
      </c>
      <c r="C15" s="34">
        <f>C42/Inputs_MySOL!$B$2</f>
        <v>0.28473401709401708</v>
      </c>
      <c r="D15" s="53"/>
      <c r="E15" s="43">
        <f t="shared" si="1"/>
        <v>925.38555555555547</v>
      </c>
      <c r="F15" s="107"/>
    </row>
    <row r="16" spans="1:6" x14ac:dyDescent="0.15">
      <c r="B16" s="40" t="s">
        <v>116</v>
      </c>
      <c r="C16" s="44">
        <f>C43/Inputs_MySOL!$B$2</f>
        <v>5.6946803418803413E-2</v>
      </c>
      <c r="D16" s="20"/>
      <c r="E16" s="45">
        <f t="shared" si="1"/>
        <v>185.07711111111109</v>
      </c>
      <c r="F16" s="107"/>
    </row>
    <row r="17" spans="1:6" x14ac:dyDescent="0.15">
      <c r="B17" s="57" t="s">
        <v>9</v>
      </c>
      <c r="C17" s="34">
        <f>C44/Inputs_MySOL!$B$2</f>
        <v>0.74001415384615377</v>
      </c>
      <c r="D17" s="42">
        <f>+(C15+C16)/C19</f>
        <v>0.23076923076923081</v>
      </c>
      <c r="E17" s="60">
        <f t="shared" si="1"/>
        <v>2405.0459999999998</v>
      </c>
      <c r="F17" s="107"/>
    </row>
    <row r="18" spans="1:6" x14ac:dyDescent="0.15">
      <c r="C18" s="34"/>
      <c r="D18" s="29"/>
      <c r="E18" s="60"/>
      <c r="F18" s="107"/>
    </row>
    <row r="19" spans="1:6" x14ac:dyDescent="0.15">
      <c r="A19" s="57" t="s">
        <v>10</v>
      </c>
      <c r="B19" s="57" t="s">
        <v>189</v>
      </c>
      <c r="C19" s="34">
        <f>C10+C17</f>
        <v>1.4806168888888886</v>
      </c>
      <c r="D19" s="29"/>
      <c r="E19" s="60">
        <f t="shared" ref="E19:E25" si="2">C19*$B$1</f>
        <v>4812.0048888888878</v>
      </c>
      <c r="F19" s="107"/>
    </row>
    <row r="20" spans="1:6" x14ac:dyDescent="0.15">
      <c r="B20" s="57" t="s">
        <v>190</v>
      </c>
      <c r="C20" s="34">
        <f>C19*IVA</f>
        <v>0.2368987022222222</v>
      </c>
      <c r="D20" s="53"/>
      <c r="E20" s="43">
        <f t="shared" si="2"/>
        <v>769.9207822222221</v>
      </c>
      <c r="F20" s="83"/>
    </row>
    <row r="21" spans="1:6" x14ac:dyDescent="0.15">
      <c r="B21" s="57" t="s">
        <v>191</v>
      </c>
      <c r="C21" s="34">
        <f>C19+C20</f>
        <v>1.7175155911111109</v>
      </c>
      <c r="D21" s="53"/>
      <c r="E21" s="43"/>
      <c r="F21" s="83"/>
    </row>
    <row r="22" spans="1:6" x14ac:dyDescent="0.15">
      <c r="B22" s="57" t="s">
        <v>469</v>
      </c>
      <c r="C22" s="34">
        <f>C19*$D22</f>
        <v>0.44418506666666657</v>
      </c>
      <c r="D22" s="29">
        <f>Inputs_MySOL!$D$50</f>
        <v>0.3</v>
      </c>
      <c r="E22" s="60">
        <f t="shared" si="2"/>
        <v>1443.6014666666663</v>
      </c>
      <c r="F22" s="108"/>
    </row>
    <row r="23" spans="1:6" x14ac:dyDescent="0.15">
      <c r="B23" s="57" t="s">
        <v>11</v>
      </c>
      <c r="C23" s="34">
        <f>C19*$D23</f>
        <v>0</v>
      </c>
      <c r="D23" s="29">
        <f>Inputs_MySOL!$D$51</f>
        <v>0</v>
      </c>
      <c r="E23" s="60">
        <f t="shared" si="2"/>
        <v>0</v>
      </c>
      <c r="F23" s="108"/>
    </row>
    <row r="24" spans="1:6" x14ac:dyDescent="0.15">
      <c r="B24" s="32" t="s">
        <v>470</v>
      </c>
      <c r="C24" s="33">
        <f>C19+C22+C23</f>
        <v>1.9248019555555551</v>
      </c>
      <c r="D24" s="82"/>
      <c r="E24" s="62"/>
      <c r="F24" s="83"/>
    </row>
    <row r="25" spans="1:6" x14ac:dyDescent="0.15">
      <c r="B25" s="32" t="s">
        <v>471</v>
      </c>
      <c r="C25" s="33">
        <f>C24*IVA</f>
        <v>0.30796831288888882</v>
      </c>
      <c r="D25" s="82"/>
      <c r="E25" s="60">
        <f t="shared" si="2"/>
        <v>1000.8970168888886</v>
      </c>
      <c r="F25" s="83"/>
    </row>
    <row r="26" spans="1:6" x14ac:dyDescent="0.15">
      <c r="B26" s="40" t="s">
        <v>472</v>
      </c>
      <c r="C26" s="44">
        <f>C24+C25</f>
        <v>2.2327702684444439</v>
      </c>
      <c r="D26" s="49"/>
      <c r="E26" s="41"/>
      <c r="F26" s="83"/>
    </row>
    <row r="27" spans="1:6" x14ac:dyDescent="0.15">
      <c r="B27" s="36" t="s">
        <v>12</v>
      </c>
      <c r="C27" s="46">
        <f>C26</f>
        <v>2.2327702684444439</v>
      </c>
      <c r="D27" s="47">
        <f>(C22+C23)/C24</f>
        <v>0.23076923076923078</v>
      </c>
      <c r="E27" s="60">
        <f>C27*$B$1</f>
        <v>7256.5033724444429</v>
      </c>
      <c r="F27" s="74"/>
    </row>
    <row r="28" spans="1:6" x14ac:dyDescent="0.15">
      <c r="C28" s="34"/>
      <c r="D28" s="29"/>
      <c r="E28" s="34"/>
      <c r="F28" s="39"/>
    </row>
    <row r="29" spans="1:6" x14ac:dyDescent="0.15">
      <c r="A29" s="36" t="s">
        <v>133</v>
      </c>
      <c r="B29" s="53"/>
      <c r="C29" s="34"/>
      <c r="D29" s="29"/>
      <c r="E29" s="60"/>
      <c r="F29" s="39"/>
    </row>
    <row r="30" spans="1:6" x14ac:dyDescent="0.15">
      <c r="A30" s="57" t="str">
        <f>A3</f>
        <v>MySOL</v>
      </c>
      <c r="B30" s="57" t="str">
        <f>B3</f>
        <v>PV Panels</v>
      </c>
      <c r="C30" s="34">
        <f>IFERROR(C3*Inputs_MySOL!$B$2,"NaN")</f>
        <v>7.92</v>
      </c>
      <c r="D30" s="29" t="str">
        <f t="shared" ref="D30:D35" si="3">D3</f>
        <v>Trina Solar_TSM-325PT</v>
      </c>
      <c r="E30" s="60">
        <f t="shared" ref="E30:E35" si="4">C30*$B$1</f>
        <v>25740</v>
      </c>
      <c r="F30" s="110">
        <f t="shared" ref="F30:F35" si="5">F3</f>
        <v>10</v>
      </c>
    </row>
    <row r="31" spans="1:6" x14ac:dyDescent="0.15">
      <c r="B31" s="57" t="str">
        <f>B4</f>
        <v>Inverters</v>
      </c>
      <c r="C31" s="34">
        <f>IFERROR(C4*Inputs_MySOL!$B$2,"NaN")</f>
        <v>4.7108492307692309</v>
      </c>
      <c r="D31" s="29" t="str">
        <f t="shared" si="3"/>
        <v>KACO_blueplanet 3.0 TL1 M2 WM OD US33</v>
      </c>
      <c r="E31" s="60">
        <f t="shared" si="4"/>
        <v>15310.26</v>
      </c>
      <c r="F31" s="110">
        <f t="shared" si="5"/>
        <v>1</v>
      </c>
    </row>
    <row r="32" spans="1:6" x14ac:dyDescent="0.15">
      <c r="B32" s="57" t="str">
        <f>B5</f>
        <v>Optimizer</v>
      </c>
      <c r="C32" s="34">
        <f>IFERROR(C5*Inputs_MySOL!$B$2,"NaN")</f>
        <v>0</v>
      </c>
      <c r="D32" s="29" t="str">
        <f t="shared" si="3"/>
        <v>Tigo_TS4-D</v>
      </c>
      <c r="E32" s="60">
        <f t="shared" si="4"/>
        <v>0</v>
      </c>
      <c r="F32" s="110">
        <f t="shared" si="5"/>
        <v>0</v>
      </c>
    </row>
    <row r="33" spans="1:8" x14ac:dyDescent="0.15">
      <c r="B33" s="57" t="str">
        <f>B6</f>
        <v>System Monitoring</v>
      </c>
      <c r="C33" s="34">
        <f>IFERROR(C6*Inputs_MySOL!$B$2,"NaN")</f>
        <v>0</v>
      </c>
      <c r="D33" s="29" t="str">
        <f t="shared" si="3"/>
        <v>TIGO_CCA-PS-INT</v>
      </c>
      <c r="E33" s="60">
        <f t="shared" si="4"/>
        <v>0</v>
      </c>
      <c r="F33" s="110">
        <f t="shared" si="5"/>
        <v>0</v>
      </c>
    </row>
    <row r="34" spans="1:8" x14ac:dyDescent="0.15">
      <c r="B34" s="57" t="str">
        <f>B7</f>
        <v>Consumption Monitoring</v>
      </c>
      <c r="C34" s="34">
        <f>IFERROR(C7*Inputs_MySOL!$B$2,"NaN")</f>
        <v>0</v>
      </c>
      <c r="D34" s="29" t="str">
        <f t="shared" si="3"/>
        <v>E-Gauge</v>
      </c>
      <c r="E34" s="60">
        <f t="shared" si="4"/>
        <v>0</v>
      </c>
      <c r="F34" s="110">
        <f t="shared" si="5"/>
        <v>0</v>
      </c>
    </row>
    <row r="35" spans="1:8" x14ac:dyDescent="0.15">
      <c r="B35" s="57" t="str">
        <f>B8</f>
        <v>Comm Accessory</v>
      </c>
      <c r="C35" s="34">
        <f>IFERROR(C8*Inputs_MySOL!$B$2,"NaN")</f>
        <v>0</v>
      </c>
      <c r="D35" s="29" t="str">
        <f t="shared" si="3"/>
        <v>TIGO_GTWY-WCOMM</v>
      </c>
      <c r="E35" s="60">
        <f t="shared" si="4"/>
        <v>0</v>
      </c>
      <c r="F35" s="110">
        <f t="shared" si="5"/>
        <v>0</v>
      </c>
    </row>
    <row r="36" spans="1:8" x14ac:dyDescent="0.15">
      <c r="B36" s="57" t="s">
        <v>1030</v>
      </c>
      <c r="C36" s="34">
        <f>Shipping_MXNperW</f>
        <v>0.7</v>
      </c>
      <c r="D36" s="29"/>
      <c r="E36" s="60"/>
      <c r="F36" s="110"/>
    </row>
    <row r="37" spans="1:8" x14ac:dyDescent="0.15">
      <c r="B37" s="57" t="str">
        <f>B10</f>
        <v>SubTotal</v>
      </c>
      <c r="C37" s="34">
        <f>SUM(C30:C36)</f>
        <v>13.33084923076923</v>
      </c>
      <c r="D37" s="29"/>
      <c r="E37" s="60">
        <f t="shared" ref="E37:E53" si="6">C37*$B$1</f>
        <v>43325.259999999995</v>
      </c>
      <c r="F37" s="110">
        <f>F10</f>
        <v>0</v>
      </c>
      <c r="H37" s="557"/>
    </row>
    <row r="38" spans="1:8" x14ac:dyDescent="0.15">
      <c r="C38" s="34"/>
      <c r="D38" s="42"/>
      <c r="E38" s="60"/>
      <c r="F38" s="39"/>
    </row>
    <row r="39" spans="1:8" x14ac:dyDescent="0.15">
      <c r="A39" s="57" t="s">
        <v>838</v>
      </c>
      <c r="B39" s="57" t="str">
        <f t="shared" ref="B39:B44" si="7">B12</f>
        <v>Labor</v>
      </c>
      <c r="C39" s="34">
        <f>Inputs!F12</f>
        <v>3.1</v>
      </c>
      <c r="D39" s="42"/>
      <c r="E39" s="60">
        <f t="shared" si="6"/>
        <v>10075</v>
      </c>
      <c r="F39" s="107"/>
    </row>
    <row r="40" spans="1:8" x14ac:dyDescent="0.15">
      <c r="B40" s="57" t="str">
        <f t="shared" si="7"/>
        <v>BOS-electrical</v>
      </c>
      <c r="C40" s="34">
        <f>Inputs!F13</f>
        <v>2.6</v>
      </c>
      <c r="D40" s="42"/>
      <c r="E40" s="60">
        <f t="shared" si="6"/>
        <v>8450</v>
      </c>
      <c r="F40" s="107"/>
    </row>
    <row r="41" spans="1:8" x14ac:dyDescent="0.15">
      <c r="B41" s="57" t="str">
        <f t="shared" si="7"/>
        <v>BOS-mechanical</v>
      </c>
      <c r="C41" s="34">
        <f>Inputs!F14</f>
        <v>1.47</v>
      </c>
      <c r="D41" s="42"/>
      <c r="E41" s="60">
        <f t="shared" si="6"/>
        <v>4777.5</v>
      </c>
      <c r="F41" s="107"/>
    </row>
    <row r="42" spans="1:8" x14ac:dyDescent="0.15">
      <c r="B42" s="48" t="str">
        <f t="shared" si="7"/>
        <v>Installer Margin</v>
      </c>
      <c r="C42" s="34">
        <f>(C$37+SUM(C$39:C$41))*$D42</f>
        <v>5.1252123076923075</v>
      </c>
      <c r="D42" s="29">
        <f>Inputs_MySOL!$D$52</f>
        <v>0.25</v>
      </c>
      <c r="E42" s="60">
        <f t="shared" si="6"/>
        <v>16656.939999999999</v>
      </c>
      <c r="F42" s="107"/>
    </row>
    <row r="43" spans="1:8" x14ac:dyDescent="0.15">
      <c r="B43" s="40" t="str">
        <f t="shared" si="7"/>
        <v>Installer Sales commission</v>
      </c>
      <c r="C43" s="44">
        <f>(C$37+SUM(C$39:C$41))*$D43</f>
        <v>1.0250424615384615</v>
      </c>
      <c r="D43" s="49">
        <f>Inputs_MySOL!$D$53</f>
        <v>0.05</v>
      </c>
      <c r="E43" s="41">
        <f t="shared" si="6"/>
        <v>3331.3879999999999</v>
      </c>
      <c r="F43" s="107"/>
    </row>
    <row r="44" spans="1:8" x14ac:dyDescent="0.15">
      <c r="B44" s="59" t="str">
        <f t="shared" si="7"/>
        <v>Installer Total Price</v>
      </c>
      <c r="C44" s="34">
        <f>SUM(C39:C43)</f>
        <v>13.320254769230768</v>
      </c>
      <c r="D44" s="42">
        <f>(C42+C43)/C46</f>
        <v>0.23076923076923081</v>
      </c>
      <c r="E44" s="60">
        <f t="shared" si="6"/>
        <v>43290.827999999994</v>
      </c>
      <c r="F44" s="107"/>
    </row>
    <row r="45" spans="1:8" x14ac:dyDescent="0.15">
      <c r="C45" s="34"/>
      <c r="D45" s="29"/>
      <c r="E45" s="60"/>
      <c r="F45" s="107"/>
    </row>
    <row r="46" spans="1:8" x14ac:dyDescent="0.15">
      <c r="A46" s="57" t="s">
        <v>10</v>
      </c>
      <c r="B46" s="57" t="str">
        <f>B19</f>
        <v>Pre-IVA Cost from Installer</v>
      </c>
      <c r="C46" s="34">
        <f>C37+C44</f>
        <v>26.651103999999997</v>
      </c>
      <c r="D46" s="29"/>
      <c r="E46" s="60">
        <f t="shared" si="6"/>
        <v>86616.087999999989</v>
      </c>
      <c r="F46" s="107"/>
    </row>
    <row r="47" spans="1:8" x14ac:dyDescent="0.15">
      <c r="A47" s="34"/>
      <c r="B47" s="57" t="str">
        <f t="shared" ref="B47:B54" si="8">B20</f>
        <v>IVA to Installer</v>
      </c>
      <c r="C47" s="34">
        <f>C46*IVA</f>
        <v>4.2641766399999996</v>
      </c>
      <c r="D47" s="29"/>
      <c r="E47" s="60">
        <f t="shared" si="6"/>
        <v>13858.574079999999</v>
      </c>
      <c r="F47" s="107"/>
    </row>
    <row r="48" spans="1:8" x14ac:dyDescent="0.15">
      <c r="A48" s="34"/>
      <c r="B48" s="57" t="str">
        <f t="shared" si="8"/>
        <v>Total Cost from Installer</v>
      </c>
      <c r="C48" s="34">
        <f>C46+C47</f>
        <v>30.915280639999995</v>
      </c>
      <c r="D48" s="29"/>
      <c r="E48" s="60">
        <f t="shared" si="6"/>
        <v>100474.66207999998</v>
      </c>
      <c r="F48" s="107"/>
    </row>
    <row r="49" spans="1:6" x14ac:dyDescent="0.15">
      <c r="A49" s="48"/>
      <c r="B49" s="57" t="str">
        <f t="shared" si="8"/>
        <v>MySOL Margin</v>
      </c>
      <c r="C49" s="34">
        <f>C46*$D49</f>
        <v>7.995331199999999</v>
      </c>
      <c r="D49" s="29">
        <f>Inputs_MySOL!$D$50</f>
        <v>0.3</v>
      </c>
      <c r="E49" s="60">
        <f t="shared" si="6"/>
        <v>25984.826399999998</v>
      </c>
      <c r="F49" s="108"/>
    </row>
    <row r="50" spans="1:6" x14ac:dyDescent="0.15">
      <c r="A50" s="48"/>
      <c r="B50" s="57" t="str">
        <f t="shared" si="8"/>
        <v>Performance Guarantee</v>
      </c>
      <c r="C50" s="34">
        <f>C46*$D50</f>
        <v>0</v>
      </c>
      <c r="D50" s="29">
        <f>Inputs_MySOL!$D$51</f>
        <v>0</v>
      </c>
      <c r="E50" s="60">
        <f t="shared" si="6"/>
        <v>0</v>
      </c>
      <c r="F50" s="108"/>
    </row>
    <row r="51" spans="1:6" x14ac:dyDescent="0.15">
      <c r="A51" s="48"/>
      <c r="B51" s="32" t="str">
        <f t="shared" si="8"/>
        <v>Pre-IVA Cost from MySOL</v>
      </c>
      <c r="C51" s="33">
        <f>C46+C49+C50</f>
        <v>34.646435199999999</v>
      </c>
      <c r="D51" s="82"/>
      <c r="E51" s="60">
        <f t="shared" si="6"/>
        <v>112600.91439999999</v>
      </c>
      <c r="F51" s="83"/>
    </row>
    <row r="52" spans="1:6" x14ac:dyDescent="0.15">
      <c r="A52" s="48"/>
      <c r="B52" s="32" t="str">
        <f t="shared" si="8"/>
        <v>IVA to MySOL</v>
      </c>
      <c r="C52" s="33">
        <f>C51*IVA</f>
        <v>5.5434296319999996</v>
      </c>
      <c r="D52" s="82"/>
      <c r="E52" s="60">
        <f t="shared" si="6"/>
        <v>18016.146303999998</v>
      </c>
      <c r="F52" s="83"/>
    </row>
    <row r="53" spans="1:6" x14ac:dyDescent="0.15">
      <c r="A53" s="48"/>
      <c r="B53" s="40" t="str">
        <f t="shared" si="8"/>
        <v>Total Cost from MySOL</v>
      </c>
      <c r="C53" s="44">
        <f>C51+C52</f>
        <v>40.189864831999998</v>
      </c>
      <c r="D53" s="49"/>
      <c r="E53" s="41">
        <f t="shared" si="6"/>
        <v>130617.06070399999</v>
      </c>
      <c r="F53" s="83"/>
    </row>
    <row r="54" spans="1:6" x14ac:dyDescent="0.15">
      <c r="A54" s="59"/>
      <c r="B54" s="36" t="str">
        <f t="shared" si="8"/>
        <v>FUND PRICE</v>
      </c>
      <c r="C54" s="46">
        <f>C53</f>
        <v>40.189864831999998</v>
      </c>
      <c r="D54" s="50">
        <f>(C49+C50)/C51</f>
        <v>0.23076923076923075</v>
      </c>
      <c r="E54" s="51">
        <f>C54*$B$1</f>
        <v>130617.06070399999</v>
      </c>
      <c r="F54" s="109"/>
    </row>
    <row r="55" spans="1:6" x14ac:dyDescent="0.15">
      <c r="C55" s="34"/>
      <c r="F55" s="82"/>
    </row>
    <row r="56" spans="1:6" x14ac:dyDescent="0.15">
      <c r="C56" s="73"/>
    </row>
    <row r="57" spans="1:6" x14ac:dyDescent="0.15">
      <c r="C57" s="79"/>
    </row>
    <row r="58" spans="1:6" x14ac:dyDescent="0.15">
      <c r="C58" s="79"/>
    </row>
    <row r="59" spans="1:6" x14ac:dyDescent="0.15">
      <c r="C59" s="34"/>
      <c r="D59" s="34"/>
    </row>
    <row r="60" spans="1:6" x14ac:dyDescent="0.15">
      <c r="C60" s="80"/>
      <c r="D60" s="80"/>
    </row>
    <row r="61" spans="1:6" x14ac:dyDescent="0.15">
      <c r="C61" s="79"/>
      <c r="D61" s="79"/>
    </row>
    <row r="63" spans="1:6" x14ac:dyDescent="0.15">
      <c r="C63" s="79"/>
    </row>
    <row r="64" spans="1:6" x14ac:dyDescent="0.15">
      <c r="C64" s="79"/>
    </row>
    <row r="65" spans="3:4" x14ac:dyDescent="0.15">
      <c r="C65" s="79"/>
      <c r="D65" s="79"/>
    </row>
  </sheetData>
  <sheetProtection selectLockedCells="1" selectUnlockedCells="1"/>
  <pageMargins left="0.78749999999999998" right="0.78749999999999998" top="1.0527777777777778" bottom="1.0527777777777778" header="0.78749999999999998" footer="0.78749999999999998"/>
  <pageSetup firstPageNumber="0" orientation="portrait" horizontalDpi="300" verticalDpi="300"/>
  <headerFooter>
    <oddHeader>&amp;C&amp;"Times New Roman,Regular"&amp;12&amp;A</oddHeader>
    <oddFooter>&amp;C&amp;"Times New Roman,Regular"&amp;12Page &amp;P</oddFooter>
  </headerFooter>
  <ignoredErrors>
    <ignoredError sqref="C30" formula="1"/>
  </ignoredError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116"/>
  <sheetViews>
    <sheetView workbookViewId="0">
      <pane xSplit="1" topLeftCell="B1" activePane="topRight" state="frozen"/>
      <selection activeCell="R7" sqref="R7"/>
      <selection pane="topRight" activeCell="B1" sqref="B1"/>
    </sheetView>
  </sheetViews>
  <sheetFormatPr defaultRowHeight="10.5" x14ac:dyDescent="0.15"/>
  <cols>
    <col min="1" max="1" width="42.42578125" style="14" bestFit="1" customWidth="1"/>
    <col min="2" max="2" width="31.28515625" style="14" bestFit="1" customWidth="1"/>
    <col min="3" max="3" width="31" style="14" bestFit="1" customWidth="1"/>
    <col min="4" max="4" width="11.7109375" style="14" bestFit="1" customWidth="1"/>
    <col min="5" max="5" width="9" style="14" bestFit="1" customWidth="1"/>
    <col min="6" max="6" width="9.28515625" style="14" bestFit="1" customWidth="1"/>
    <col min="7" max="7" width="31" style="14" customWidth="1"/>
    <col min="8" max="8" width="7.5703125" style="179" bestFit="1" customWidth="1"/>
    <col min="9" max="9" width="12.42578125" style="179" bestFit="1" customWidth="1"/>
    <col min="10" max="10" width="15.85546875" style="53" bestFit="1" customWidth="1"/>
    <col min="11" max="11" width="12.28515625" style="53" bestFit="1" customWidth="1"/>
    <col min="12" max="12" width="12.85546875" style="14" bestFit="1" customWidth="1"/>
    <col min="13" max="13" width="16.28515625" style="14" bestFit="1" customWidth="1"/>
    <col min="14" max="14" width="9" style="14" bestFit="1" customWidth="1"/>
    <col min="15" max="15" width="14.42578125" style="53" bestFit="1" customWidth="1"/>
    <col min="16" max="16" width="14.28515625" style="179" bestFit="1" customWidth="1"/>
    <col min="17" max="17" width="9.85546875" style="179" bestFit="1" customWidth="1"/>
    <col min="18" max="18" width="20.140625" style="14" bestFit="1" customWidth="1"/>
    <col min="19" max="19" width="11.7109375" style="14" bestFit="1" customWidth="1"/>
    <col min="20" max="20" width="20.140625" style="14" bestFit="1" customWidth="1"/>
    <col min="21" max="21" width="6" style="14" bestFit="1" customWidth="1"/>
    <col min="22" max="22" width="8.7109375" style="14" bestFit="1" customWidth="1"/>
    <col min="23" max="16384" width="9.140625" style="14"/>
  </cols>
  <sheetData>
    <row r="1" spans="1:24" x14ac:dyDescent="0.15">
      <c r="A1" s="16" t="s">
        <v>74</v>
      </c>
      <c r="B1" s="16" t="s">
        <v>129</v>
      </c>
      <c r="C1" s="16" t="s">
        <v>75</v>
      </c>
      <c r="D1" s="15" t="s">
        <v>65</v>
      </c>
      <c r="E1" s="15" t="s">
        <v>71</v>
      </c>
      <c r="F1" s="16" t="s">
        <v>72</v>
      </c>
      <c r="G1" s="16" t="s">
        <v>73</v>
      </c>
      <c r="H1" s="180" t="s">
        <v>589</v>
      </c>
      <c r="I1" s="180"/>
      <c r="J1" s="16"/>
      <c r="K1" s="16"/>
      <c r="L1" s="19" t="s">
        <v>219</v>
      </c>
      <c r="M1" s="16" t="s">
        <v>220</v>
      </c>
      <c r="N1" s="76" t="s">
        <v>588</v>
      </c>
      <c r="O1" s="387"/>
      <c r="R1" s="179"/>
      <c r="S1" s="179"/>
      <c r="T1" s="81" t="s">
        <v>188</v>
      </c>
      <c r="U1" s="14" t="s">
        <v>129</v>
      </c>
      <c r="V1" s="14" t="s">
        <v>75</v>
      </c>
      <c r="W1" s="14" t="s">
        <v>140</v>
      </c>
      <c r="X1" s="14" t="s">
        <v>65</v>
      </c>
    </row>
    <row r="2" spans="1:24" x14ac:dyDescent="0.15">
      <c r="A2" s="14" t="str">
        <f>B2&amp;IF(C2="","","_"&amp;C2)</f>
        <v>Trina Solar_TSM-270PT</v>
      </c>
      <c r="B2" s="14" t="s">
        <v>186</v>
      </c>
      <c r="C2" s="14" t="s">
        <v>1101</v>
      </c>
      <c r="D2" s="383">
        <v>118.8</v>
      </c>
      <c r="E2" s="382">
        <f t="shared" ref="E2:E10" si="0">0.44*(1+InsuranceOnPVPanels)</f>
        <v>0.44099571999999998</v>
      </c>
      <c r="F2" s="14" t="s">
        <v>77</v>
      </c>
      <c r="G2" s="14" t="s">
        <v>1112</v>
      </c>
      <c r="H2" s="179" t="s">
        <v>590</v>
      </c>
      <c r="L2" s="14">
        <v>270</v>
      </c>
      <c r="M2" s="54">
        <v>247.9</v>
      </c>
      <c r="N2" s="21">
        <f>IFERROR(M2/L2,"NaN")</f>
        <v>0.91814814814814816</v>
      </c>
      <c r="O2" s="388"/>
      <c r="P2" s="77"/>
      <c r="Q2" s="77"/>
      <c r="R2" s="77"/>
      <c r="S2" s="77"/>
    </row>
    <row r="3" spans="1:24" s="179" customFormat="1" x14ac:dyDescent="0.15">
      <c r="A3" s="179" t="str">
        <f t="shared" ref="A3:A22" si="1">B3&amp;IF(C3="","","_"&amp;C3)</f>
        <v>Trina Solar_TSM-325PT</v>
      </c>
      <c r="B3" s="179" t="s">
        <v>186</v>
      </c>
      <c r="C3" s="179" t="s">
        <v>1102</v>
      </c>
      <c r="D3" s="383">
        <v>143</v>
      </c>
      <c r="E3" s="382">
        <f t="shared" si="0"/>
        <v>0.44099571999999998</v>
      </c>
      <c r="F3" s="179" t="s">
        <v>77</v>
      </c>
      <c r="G3" s="179" t="s">
        <v>1113</v>
      </c>
      <c r="H3" s="179" t="s">
        <v>590</v>
      </c>
      <c r="L3" s="179">
        <v>325</v>
      </c>
      <c r="M3" s="54">
        <v>298.5</v>
      </c>
      <c r="N3" s="21">
        <f t="shared" ref="N3:N22" si="2">IFERROR(M3/L3,"NaN")</f>
        <v>0.91846153846153844</v>
      </c>
      <c r="O3" s="388"/>
      <c r="P3" s="77"/>
      <c r="Q3" s="77"/>
      <c r="R3" s="77"/>
      <c r="S3" s="77"/>
    </row>
    <row r="4" spans="1:24" s="179" customFormat="1" x14ac:dyDescent="0.15">
      <c r="A4" s="179" t="str">
        <f t="shared" si="1"/>
        <v>JA Solar_JA-P660-270</v>
      </c>
      <c r="B4" s="179" t="s">
        <v>86</v>
      </c>
      <c r="C4" s="179" t="s">
        <v>1103</v>
      </c>
      <c r="D4" s="383">
        <v>118.8</v>
      </c>
      <c r="E4" s="382">
        <f t="shared" si="0"/>
        <v>0.44099571999999998</v>
      </c>
      <c r="F4" s="179" t="s">
        <v>77</v>
      </c>
      <c r="G4" s="179" t="s">
        <v>1112</v>
      </c>
      <c r="H4" s="179" t="s">
        <v>590</v>
      </c>
      <c r="L4" s="179">
        <v>270</v>
      </c>
      <c r="M4" s="54">
        <v>250.2</v>
      </c>
      <c r="N4" s="21">
        <f t="shared" si="2"/>
        <v>0.92666666666666664</v>
      </c>
      <c r="O4" s="388"/>
      <c r="P4" s="77"/>
      <c r="Q4" s="77"/>
      <c r="R4" s="77"/>
      <c r="S4" s="77"/>
    </row>
    <row r="5" spans="1:24" s="179" customFormat="1" x14ac:dyDescent="0.15">
      <c r="A5" s="179" t="str">
        <f t="shared" si="1"/>
        <v>JA Solar_JA-P672-325</v>
      </c>
      <c r="B5" s="179" t="s">
        <v>86</v>
      </c>
      <c r="C5" s="179" t="s">
        <v>1104</v>
      </c>
      <c r="D5" s="383">
        <v>130</v>
      </c>
      <c r="E5" s="382">
        <f t="shared" si="0"/>
        <v>0.44099571999999998</v>
      </c>
      <c r="F5" s="179" t="s">
        <v>77</v>
      </c>
      <c r="G5" s="179" t="s">
        <v>1113</v>
      </c>
      <c r="H5" s="179" t="s">
        <v>590</v>
      </c>
      <c r="L5" s="179">
        <v>325</v>
      </c>
      <c r="M5" s="54">
        <v>301.2</v>
      </c>
      <c r="N5" s="21">
        <f t="shared" si="2"/>
        <v>0.92676923076923079</v>
      </c>
      <c r="O5" s="388"/>
      <c r="P5" s="77"/>
      <c r="Q5" s="77"/>
      <c r="R5" s="77"/>
      <c r="S5" s="77"/>
    </row>
    <row r="6" spans="1:24" s="179" customFormat="1" x14ac:dyDescent="0.15">
      <c r="A6" s="179" t="str">
        <f t="shared" si="1"/>
        <v>ET Solar_ET-P660-270</v>
      </c>
      <c r="B6" s="179" t="s">
        <v>83</v>
      </c>
      <c r="C6" s="179" t="s">
        <v>1105</v>
      </c>
      <c r="D6" s="383">
        <v>118.8</v>
      </c>
      <c r="E6" s="382">
        <f t="shared" si="0"/>
        <v>0.44099571999999998</v>
      </c>
      <c r="F6" s="179" t="s">
        <v>77</v>
      </c>
      <c r="G6" s="179" t="s">
        <v>1112</v>
      </c>
      <c r="H6" s="179" t="s">
        <v>590</v>
      </c>
      <c r="L6" s="179">
        <v>270</v>
      </c>
      <c r="M6" s="54">
        <v>246.6</v>
      </c>
      <c r="N6" s="21">
        <f t="shared" si="2"/>
        <v>0.91333333333333333</v>
      </c>
      <c r="O6" s="388"/>
      <c r="P6" s="77"/>
      <c r="Q6" s="77"/>
      <c r="R6" s="77"/>
      <c r="S6" s="77"/>
    </row>
    <row r="7" spans="1:24" s="179" customFormat="1" x14ac:dyDescent="0.15">
      <c r="A7" s="179" t="str">
        <f t="shared" si="1"/>
        <v>ET Solar_ET-P672-325</v>
      </c>
      <c r="B7" s="179" t="s">
        <v>83</v>
      </c>
      <c r="C7" s="179" t="s">
        <v>1106</v>
      </c>
      <c r="D7" s="383">
        <v>143</v>
      </c>
      <c r="E7" s="382">
        <f t="shared" si="0"/>
        <v>0.44099571999999998</v>
      </c>
      <c r="F7" s="179" t="s">
        <v>77</v>
      </c>
      <c r="G7" s="179" t="s">
        <v>1114</v>
      </c>
      <c r="H7" s="179" t="s">
        <v>590</v>
      </c>
      <c r="L7" s="179">
        <v>325</v>
      </c>
      <c r="M7" s="54">
        <v>296.8</v>
      </c>
      <c r="N7" s="21">
        <f t="shared" si="2"/>
        <v>0.91323076923076929</v>
      </c>
      <c r="O7" s="388"/>
      <c r="P7" s="77"/>
      <c r="Q7" s="77"/>
      <c r="R7" s="77"/>
      <c r="S7" s="77"/>
    </row>
    <row r="8" spans="1:24" s="179" customFormat="1" x14ac:dyDescent="0.15">
      <c r="A8" s="179" t="str">
        <f t="shared" si="1"/>
        <v>Risen Solar_60X6 270Wp</v>
      </c>
      <c r="B8" s="179" t="s">
        <v>1107</v>
      </c>
      <c r="C8" s="179" t="s">
        <v>1108</v>
      </c>
      <c r="D8" s="383">
        <v>118.8</v>
      </c>
      <c r="E8" s="382">
        <f t="shared" si="0"/>
        <v>0.44099571999999998</v>
      </c>
      <c r="F8" s="179" t="s">
        <v>77</v>
      </c>
      <c r="G8" s="179" t="s">
        <v>1115</v>
      </c>
      <c r="H8" s="179" t="s">
        <v>590</v>
      </c>
      <c r="L8" s="179">
        <v>270</v>
      </c>
      <c r="M8" s="54">
        <v>240.9</v>
      </c>
      <c r="N8" s="21">
        <f t="shared" si="2"/>
        <v>0.89222222222222225</v>
      </c>
      <c r="O8" s="388"/>
      <c r="P8" s="77"/>
      <c r="Q8" s="77"/>
      <c r="R8" s="77"/>
      <c r="S8" s="77"/>
    </row>
    <row r="9" spans="1:24" s="179" customFormat="1" x14ac:dyDescent="0.15">
      <c r="A9" s="179" t="str">
        <f t="shared" si="1"/>
        <v>Risen Solar_72X6 320Wp</v>
      </c>
      <c r="B9" s="179" t="s">
        <v>1107</v>
      </c>
      <c r="C9" s="179" t="s">
        <v>1109</v>
      </c>
      <c r="D9" s="383">
        <v>140.80000000000001</v>
      </c>
      <c r="E9" s="382">
        <f t="shared" si="0"/>
        <v>0.44099571999999998</v>
      </c>
      <c r="F9" s="179" t="s">
        <v>77</v>
      </c>
      <c r="G9" s="179" t="s">
        <v>1115</v>
      </c>
      <c r="H9" s="179" t="s">
        <v>590</v>
      </c>
      <c r="L9" s="179">
        <v>320</v>
      </c>
      <c r="M9" s="54">
        <v>289.3</v>
      </c>
      <c r="N9" s="21">
        <f t="shared" si="2"/>
        <v>0.90406249999999999</v>
      </c>
      <c r="O9" s="388"/>
      <c r="P9" s="77"/>
      <c r="Q9" s="77"/>
      <c r="R9" s="77"/>
      <c r="S9" s="77"/>
    </row>
    <row r="10" spans="1:24" s="179" customFormat="1" x14ac:dyDescent="0.15">
      <c r="A10" s="179" t="str">
        <f t="shared" si="1"/>
        <v>Risen Solar_72X6 325Wp</v>
      </c>
      <c r="B10" s="179" t="s">
        <v>1107</v>
      </c>
      <c r="C10" s="179" t="s">
        <v>1110</v>
      </c>
      <c r="D10" s="383">
        <v>143</v>
      </c>
      <c r="E10" s="382">
        <f t="shared" si="0"/>
        <v>0.44099571999999998</v>
      </c>
      <c r="F10" s="179" t="s">
        <v>77</v>
      </c>
      <c r="G10" s="179" t="s">
        <v>1115</v>
      </c>
      <c r="H10" s="179" t="s">
        <v>590</v>
      </c>
      <c r="L10" s="179">
        <v>325</v>
      </c>
      <c r="M10" s="54">
        <v>293.89999999999998</v>
      </c>
      <c r="N10" s="21">
        <f t="shared" si="2"/>
        <v>0.90430769230769226</v>
      </c>
      <c r="O10" s="388"/>
      <c r="P10" s="77"/>
      <c r="Q10" s="77"/>
      <c r="R10" s="77"/>
      <c r="S10" s="77"/>
      <c r="U10" s="14" t="s">
        <v>76</v>
      </c>
      <c r="V10" s="14" t="s">
        <v>175</v>
      </c>
      <c r="W10" s="14">
        <v>247.9</v>
      </c>
      <c r="X10" s="14">
        <v>124.2</v>
      </c>
    </row>
    <row r="11" spans="1:24" x14ac:dyDescent="0.15">
      <c r="A11" s="179" t="str">
        <f t="shared" si="1"/>
        <v>Trina_TSM-PA08A 275</v>
      </c>
      <c r="B11" s="14" t="s">
        <v>76</v>
      </c>
      <c r="C11" s="14" t="s">
        <v>585</v>
      </c>
      <c r="D11" s="383">
        <v>113.57499999999999</v>
      </c>
      <c r="E11" s="382">
        <f>0.35*1.18</f>
        <v>0.41299999999999998</v>
      </c>
      <c r="F11" s="14" t="s">
        <v>77</v>
      </c>
      <c r="G11" s="14" t="s">
        <v>584</v>
      </c>
      <c r="H11" s="179" t="s">
        <v>590</v>
      </c>
      <c r="L11" s="14">
        <v>275</v>
      </c>
      <c r="M11" s="54">
        <v>251.1</v>
      </c>
      <c r="N11" s="21">
        <f t="shared" si="2"/>
        <v>0.91309090909090906</v>
      </c>
      <c r="O11" s="388"/>
      <c r="P11" s="77"/>
      <c r="Q11" s="77"/>
      <c r="R11" s="77"/>
      <c r="S11" s="77"/>
      <c r="U11" s="14" t="s">
        <v>76</v>
      </c>
      <c r="V11" s="14" t="s">
        <v>78</v>
      </c>
      <c r="W11" s="14">
        <v>292</v>
      </c>
      <c r="X11" s="14">
        <v>147.20000000000002</v>
      </c>
    </row>
    <row r="12" spans="1:24" s="179" customFormat="1" x14ac:dyDescent="0.15">
      <c r="A12" s="179" t="str">
        <f t="shared" si="1"/>
        <v>Trina_TSM-PD14 330</v>
      </c>
      <c r="B12" s="179" t="s">
        <v>76</v>
      </c>
      <c r="C12" s="179" t="s">
        <v>577</v>
      </c>
      <c r="D12" s="383">
        <v>136.29</v>
      </c>
      <c r="E12" s="382">
        <f>0.35*1.18</f>
        <v>0.41299999999999998</v>
      </c>
      <c r="F12" s="179" t="s">
        <v>77</v>
      </c>
      <c r="G12" s="179" t="s">
        <v>584</v>
      </c>
      <c r="H12" s="179" t="s">
        <v>590</v>
      </c>
      <c r="L12" s="179">
        <v>330</v>
      </c>
      <c r="M12" s="54">
        <v>301.39999999999998</v>
      </c>
      <c r="N12" s="21">
        <f t="shared" si="2"/>
        <v>0.91333333333333322</v>
      </c>
      <c r="O12" s="77"/>
      <c r="P12" s="77"/>
      <c r="Q12" s="77"/>
      <c r="R12" s="77"/>
      <c r="S12" s="77"/>
      <c r="W12" s="179">
        <v>292</v>
      </c>
    </row>
    <row r="13" spans="1:24" s="179" customFormat="1" x14ac:dyDescent="0.15">
      <c r="A13" s="179" t="str">
        <f t="shared" si="1"/>
        <v>Trina_TSM-DD05A.08(II) 285</v>
      </c>
      <c r="B13" s="179" t="s">
        <v>76</v>
      </c>
      <c r="C13" s="179" t="s">
        <v>586</v>
      </c>
      <c r="D13" s="383">
        <v>122.7495</v>
      </c>
      <c r="E13" s="382">
        <f>0.365*1.18</f>
        <v>0.43069999999999997</v>
      </c>
      <c r="F13" s="179" t="s">
        <v>77</v>
      </c>
      <c r="G13" s="179" t="s">
        <v>584</v>
      </c>
      <c r="H13" s="179" t="s">
        <v>591</v>
      </c>
      <c r="L13" s="179">
        <v>285</v>
      </c>
      <c r="M13" s="54">
        <v>260.5</v>
      </c>
      <c r="N13" s="21">
        <f t="shared" si="2"/>
        <v>0.9140350877192982</v>
      </c>
      <c r="O13" s="77"/>
      <c r="P13" s="77"/>
      <c r="Q13" s="77"/>
      <c r="R13" s="77"/>
      <c r="S13" s="77"/>
      <c r="W13" s="179">
        <v>292</v>
      </c>
    </row>
    <row r="14" spans="1:24" x14ac:dyDescent="0.15">
      <c r="A14" s="179" t="str">
        <f t="shared" si="1"/>
        <v>Trina_TSM-DD14A(II) 340</v>
      </c>
      <c r="B14" s="14" t="s">
        <v>76</v>
      </c>
      <c r="C14" s="14" t="s">
        <v>587</v>
      </c>
      <c r="D14" s="383">
        <v>146.43799999999999</v>
      </c>
      <c r="E14" s="382">
        <f>0.365*1.18</f>
        <v>0.43069999999999997</v>
      </c>
      <c r="F14" s="14" t="s">
        <v>77</v>
      </c>
      <c r="G14" s="14" t="s">
        <v>584</v>
      </c>
      <c r="H14" s="179" t="s">
        <v>591</v>
      </c>
      <c r="L14" s="14">
        <v>340</v>
      </c>
      <c r="M14" s="54">
        <v>306.2</v>
      </c>
      <c r="N14" s="21">
        <f t="shared" si="2"/>
        <v>0.90058823529411758</v>
      </c>
      <c r="O14" s="77"/>
      <c r="P14" s="77"/>
      <c r="Q14" s="77"/>
      <c r="R14" s="77"/>
      <c r="S14" s="77"/>
      <c r="U14" s="14" t="s">
        <v>79</v>
      </c>
      <c r="V14" s="14" t="s">
        <v>176</v>
      </c>
      <c r="W14" s="14">
        <v>292</v>
      </c>
      <c r="X14" s="14">
        <v>132.30000000000001</v>
      </c>
    </row>
    <row r="15" spans="1:24" x14ac:dyDescent="0.15">
      <c r="A15" s="179" t="str">
        <f t="shared" si="1"/>
        <v>CSI_CSK-P 275Wp</v>
      </c>
      <c r="B15" s="14" t="s">
        <v>79</v>
      </c>
      <c r="C15" s="14" t="s">
        <v>578</v>
      </c>
      <c r="D15" s="383">
        <v>138.05000000000001</v>
      </c>
      <c r="E15" s="382">
        <v>0.502</v>
      </c>
      <c r="F15" s="14" t="s">
        <v>80</v>
      </c>
      <c r="G15" s="14" t="s">
        <v>81</v>
      </c>
      <c r="H15" s="179" t="s">
        <v>590</v>
      </c>
      <c r="L15" s="14">
        <v>275</v>
      </c>
      <c r="M15" s="54">
        <v>251.8</v>
      </c>
      <c r="N15" s="21">
        <f t="shared" si="2"/>
        <v>0.91563636363636369</v>
      </c>
      <c r="O15" s="77"/>
      <c r="P15" s="77"/>
      <c r="Q15" s="77"/>
      <c r="R15" s="77"/>
      <c r="S15" s="77"/>
      <c r="U15" s="14" t="s">
        <v>79</v>
      </c>
      <c r="V15" s="14" t="s">
        <v>177</v>
      </c>
      <c r="W15" s="14">
        <v>292</v>
      </c>
      <c r="X15" s="14">
        <v>156.80000000000001</v>
      </c>
    </row>
    <row r="16" spans="1:24" x14ac:dyDescent="0.15">
      <c r="A16" s="179" t="str">
        <f t="shared" si="1"/>
        <v>CSI_CS6U-320P</v>
      </c>
      <c r="B16" s="14" t="s">
        <v>79</v>
      </c>
      <c r="C16" s="14" t="s">
        <v>177</v>
      </c>
      <c r="D16" s="383">
        <v>160.63999999999999</v>
      </c>
      <c r="E16" s="382">
        <v>0.502</v>
      </c>
      <c r="F16" s="14" t="s">
        <v>80</v>
      </c>
      <c r="G16" s="14" t="s">
        <v>81</v>
      </c>
      <c r="H16" s="179" t="s">
        <v>590</v>
      </c>
      <c r="L16" s="14">
        <v>320</v>
      </c>
      <c r="M16" s="54">
        <v>292.8</v>
      </c>
      <c r="N16" s="21">
        <f t="shared" si="2"/>
        <v>0.91500000000000004</v>
      </c>
      <c r="O16" s="77"/>
      <c r="P16" s="77"/>
      <c r="Q16" s="77"/>
      <c r="R16" s="77"/>
      <c r="S16" s="77"/>
      <c r="U16" s="14" t="s">
        <v>82</v>
      </c>
      <c r="V16" s="14" t="s">
        <v>185</v>
      </c>
      <c r="W16" s="14">
        <v>292</v>
      </c>
      <c r="X16" s="14">
        <v>126.89999999999999</v>
      </c>
    </row>
    <row r="17" spans="1:24" x14ac:dyDescent="0.15">
      <c r="A17" s="179" t="str">
        <f t="shared" si="1"/>
        <v>GCL_GCL P6/270</v>
      </c>
      <c r="B17" s="14" t="s">
        <v>1111</v>
      </c>
      <c r="C17" s="53" t="s">
        <v>579</v>
      </c>
      <c r="D17" s="383">
        <v>109.91699999999999</v>
      </c>
      <c r="E17" s="382">
        <f>0.345*1.18</f>
        <v>0.40709999999999996</v>
      </c>
      <c r="F17" s="14" t="s">
        <v>80</v>
      </c>
      <c r="G17" s="14" t="s">
        <v>584</v>
      </c>
      <c r="H17" s="179" t="s">
        <v>590</v>
      </c>
      <c r="L17" s="14">
        <v>270</v>
      </c>
      <c r="M17" s="54">
        <v>244.4</v>
      </c>
      <c r="N17" s="21">
        <f t="shared" si="2"/>
        <v>0.9051851851851852</v>
      </c>
      <c r="O17" s="52"/>
      <c r="P17" s="52"/>
      <c r="Q17" s="52"/>
      <c r="R17" s="52"/>
      <c r="S17" s="52"/>
      <c r="U17" s="14" t="s">
        <v>82</v>
      </c>
      <c r="V17" s="14" t="s">
        <v>184</v>
      </c>
      <c r="W17" s="14">
        <v>292</v>
      </c>
      <c r="X17" s="14">
        <v>150.39999999999998</v>
      </c>
    </row>
    <row r="18" spans="1:24" x14ac:dyDescent="0.15">
      <c r="A18" s="179" t="str">
        <f t="shared" si="1"/>
        <v>GCL_GCL P6/320</v>
      </c>
      <c r="B18" s="14" t="s">
        <v>1111</v>
      </c>
      <c r="C18" s="14" t="s">
        <v>580</v>
      </c>
      <c r="D18" s="383">
        <v>130.27199999999999</v>
      </c>
      <c r="E18" s="382">
        <f>0.345*1.18</f>
        <v>0.40709999999999996</v>
      </c>
      <c r="F18" s="14" t="s">
        <v>80</v>
      </c>
      <c r="G18" s="14" t="s">
        <v>584</v>
      </c>
      <c r="H18" s="179" t="s">
        <v>590</v>
      </c>
      <c r="L18" s="14">
        <v>320</v>
      </c>
      <c r="M18" s="54">
        <v>286.39999999999998</v>
      </c>
      <c r="N18" s="21">
        <f t="shared" si="2"/>
        <v>0.89499999999999991</v>
      </c>
      <c r="R18" s="179"/>
      <c r="S18" s="179"/>
      <c r="U18" s="14" t="s">
        <v>83</v>
      </c>
      <c r="W18" s="14">
        <v>292</v>
      </c>
      <c r="X18" s="14">
        <v>0</v>
      </c>
    </row>
    <row r="19" spans="1:24" x14ac:dyDescent="0.15">
      <c r="A19" s="179" t="str">
        <f t="shared" si="1"/>
        <v>Jinko_JKM270PP</v>
      </c>
      <c r="B19" s="14" t="s">
        <v>85</v>
      </c>
      <c r="C19" s="14" t="s">
        <v>581</v>
      </c>
      <c r="D19" s="383">
        <v>116.28899999999999</v>
      </c>
      <c r="E19" s="382">
        <f>0.365*1.18</f>
        <v>0.43069999999999997</v>
      </c>
      <c r="F19" s="14" t="s">
        <v>80</v>
      </c>
      <c r="G19" s="14" t="s">
        <v>584</v>
      </c>
      <c r="H19" s="179" t="s">
        <v>590</v>
      </c>
      <c r="L19" s="14">
        <v>270</v>
      </c>
      <c r="M19" s="54">
        <v>240.8</v>
      </c>
      <c r="N19" s="21">
        <f t="shared" si="2"/>
        <v>0.8918518518518519</v>
      </c>
      <c r="R19" s="179"/>
      <c r="S19" s="179"/>
      <c r="U19" s="14" t="s">
        <v>84</v>
      </c>
      <c r="V19" s="14" t="s">
        <v>178</v>
      </c>
      <c r="W19" s="14">
        <v>292</v>
      </c>
      <c r="X19" s="14">
        <v>146.25</v>
      </c>
    </row>
    <row r="20" spans="1:24" x14ac:dyDescent="0.15">
      <c r="A20" s="179" t="str">
        <f t="shared" si="1"/>
        <v>Jinko_JKM320PP</v>
      </c>
      <c r="B20" s="14" t="s">
        <v>85</v>
      </c>
      <c r="C20" s="14" t="s">
        <v>582</v>
      </c>
      <c r="D20" s="383">
        <v>137.82399999999998</v>
      </c>
      <c r="E20" s="382">
        <f t="shared" ref="E20:E21" si="3">0.365*1.18</f>
        <v>0.43069999999999997</v>
      </c>
      <c r="F20" s="14" t="s">
        <v>80</v>
      </c>
      <c r="G20" s="14" t="s">
        <v>584</v>
      </c>
      <c r="H20" s="179" t="s">
        <v>590</v>
      </c>
      <c r="L20" s="14">
        <v>320</v>
      </c>
      <c r="M20" s="54">
        <v>290.10000000000002</v>
      </c>
      <c r="N20" s="21">
        <f t="shared" si="2"/>
        <v>0.90656250000000005</v>
      </c>
      <c r="R20" s="179"/>
      <c r="S20" s="179"/>
      <c r="U20" s="14" t="s">
        <v>85</v>
      </c>
      <c r="W20" s="14">
        <v>292</v>
      </c>
      <c r="X20" s="14">
        <v>0</v>
      </c>
    </row>
    <row r="21" spans="1:24" x14ac:dyDescent="0.15">
      <c r="A21" s="179" t="str">
        <f t="shared" si="1"/>
        <v>Jinko_JKM325PP</v>
      </c>
      <c r="B21" s="14" t="s">
        <v>85</v>
      </c>
      <c r="C21" s="14" t="s">
        <v>583</v>
      </c>
      <c r="D21" s="383">
        <v>139.97749999999999</v>
      </c>
      <c r="E21" s="382">
        <f t="shared" si="3"/>
        <v>0.43069999999999997</v>
      </c>
      <c r="F21" s="14" t="s">
        <v>80</v>
      </c>
      <c r="G21" s="14" t="s">
        <v>584</v>
      </c>
      <c r="H21" s="179" t="s">
        <v>590</v>
      </c>
      <c r="L21" s="14">
        <v>325</v>
      </c>
      <c r="M21" s="54">
        <v>298.10000000000002</v>
      </c>
      <c r="N21" s="21">
        <f t="shared" si="2"/>
        <v>0.91723076923076929</v>
      </c>
      <c r="R21" s="179"/>
      <c r="S21" s="179"/>
      <c r="U21" s="14" t="s">
        <v>86</v>
      </c>
      <c r="W21" s="14">
        <v>292</v>
      </c>
      <c r="X21" s="14">
        <v>0</v>
      </c>
    </row>
    <row r="22" spans="1:24" x14ac:dyDescent="0.15">
      <c r="A22" s="179" t="str">
        <f t="shared" si="1"/>
        <v>SunPreme_SNPM-GxB-310 Bifacial</v>
      </c>
      <c r="B22" s="14" t="s">
        <v>87</v>
      </c>
      <c r="C22" s="14" t="s">
        <v>179</v>
      </c>
      <c r="D22" s="383">
        <v>0</v>
      </c>
      <c r="E22" s="382">
        <v>0.74</v>
      </c>
      <c r="F22" s="14" t="s">
        <v>77</v>
      </c>
      <c r="H22" s="179" t="s">
        <v>591</v>
      </c>
      <c r="L22" s="14">
        <v>310</v>
      </c>
      <c r="M22" s="54">
        <v>292.5</v>
      </c>
      <c r="N22" s="21">
        <f t="shared" si="2"/>
        <v>0.94354838709677424</v>
      </c>
      <c r="R22" s="179"/>
      <c r="S22" s="179"/>
      <c r="U22" s="14" t="s">
        <v>87</v>
      </c>
      <c r="V22" s="14" t="s">
        <v>179</v>
      </c>
      <c r="W22" s="14">
        <v>292</v>
      </c>
      <c r="X22" s="14">
        <v>0</v>
      </c>
    </row>
    <row r="23" spans="1:24" x14ac:dyDescent="0.15">
      <c r="D23" s="17"/>
      <c r="E23" s="17"/>
    </row>
    <row r="24" spans="1:24" x14ac:dyDescent="0.15">
      <c r="A24" s="16" t="s">
        <v>130</v>
      </c>
      <c r="B24" s="16" t="s">
        <v>129</v>
      </c>
      <c r="C24" s="16" t="s">
        <v>75</v>
      </c>
      <c r="D24" s="15" t="s">
        <v>65</v>
      </c>
      <c r="E24" s="15" t="s">
        <v>71</v>
      </c>
      <c r="F24" s="16" t="s">
        <v>72</v>
      </c>
      <c r="G24" s="16" t="s">
        <v>73</v>
      </c>
      <c r="H24" s="180"/>
      <c r="I24" s="180"/>
      <c r="J24" s="16"/>
      <c r="K24" s="16"/>
      <c r="L24" s="19" t="s">
        <v>70</v>
      </c>
    </row>
    <row r="25" spans="1:24" x14ac:dyDescent="0.15">
      <c r="A25" s="14" t="str">
        <f>B25&amp;IF(C25="","","_"&amp;C25)</f>
        <v>Tigo_TS4-D</v>
      </c>
      <c r="B25" s="14" t="s">
        <v>88</v>
      </c>
      <c r="C25" s="14" t="s">
        <v>89</v>
      </c>
      <c r="D25" s="17">
        <v>0</v>
      </c>
      <c r="E25" s="382">
        <f>D25/L25</f>
        <v>0</v>
      </c>
      <c r="F25" s="14" t="s">
        <v>77</v>
      </c>
      <c r="G25" s="14" t="s">
        <v>90</v>
      </c>
      <c r="L25" s="14">
        <v>280</v>
      </c>
    </row>
    <row r="26" spans="1:24" x14ac:dyDescent="0.15">
      <c r="A26" s="14" t="str">
        <f>B26&amp;IF(C26="","","_"&amp;C26)</f>
        <v>Tigo_TS4-M</v>
      </c>
      <c r="B26" s="14" t="s">
        <v>88</v>
      </c>
      <c r="C26" s="14" t="s">
        <v>91</v>
      </c>
      <c r="D26" s="17">
        <v>16</v>
      </c>
      <c r="E26" s="382">
        <f>D26/L26</f>
        <v>5.7142857142857141E-2</v>
      </c>
      <c r="F26" s="14" t="s">
        <v>77</v>
      </c>
      <c r="G26" s="14" t="s">
        <v>92</v>
      </c>
      <c r="L26" s="14">
        <v>280</v>
      </c>
    </row>
    <row r="27" spans="1:24" x14ac:dyDescent="0.15">
      <c r="A27" s="14" t="str">
        <f>B27&amp;IF(C27="","","_"&amp;C27)</f>
        <v>Tigo_TS4-S</v>
      </c>
      <c r="B27" s="14" t="s">
        <v>88</v>
      </c>
      <c r="C27" s="14" t="s">
        <v>93</v>
      </c>
      <c r="D27" s="17">
        <v>26.88</v>
      </c>
      <c r="E27" s="382">
        <f>D27/L27</f>
        <v>9.6000000000000002E-2</v>
      </c>
      <c r="F27" s="14" t="s">
        <v>77</v>
      </c>
      <c r="G27" s="14" t="s">
        <v>94</v>
      </c>
      <c r="L27" s="14">
        <v>280</v>
      </c>
    </row>
    <row r="28" spans="1:24" x14ac:dyDescent="0.15">
      <c r="A28" s="14" t="str">
        <f>B28&amp;IF(C28="","","_"&amp;C28)</f>
        <v>Tigo_TS4-O</v>
      </c>
      <c r="B28" s="14" t="s">
        <v>88</v>
      </c>
      <c r="C28" s="14" t="s">
        <v>95</v>
      </c>
      <c r="D28" s="17">
        <v>34.56</v>
      </c>
      <c r="E28" s="382">
        <f>D28/L28</f>
        <v>0.12342857142857144</v>
      </c>
      <c r="F28" s="14" t="s">
        <v>77</v>
      </c>
      <c r="G28" s="14" t="s">
        <v>96</v>
      </c>
      <c r="L28" s="14">
        <v>280</v>
      </c>
    </row>
    <row r="29" spans="1:24" x14ac:dyDescent="0.15">
      <c r="A29" s="14" t="str">
        <f>B29&amp;IF(C29="","","_"&amp;C29)</f>
        <v>Tigo_TS4-L</v>
      </c>
      <c r="B29" s="14" t="s">
        <v>88</v>
      </c>
      <c r="C29" s="14" t="s">
        <v>97</v>
      </c>
      <c r="D29" s="17">
        <v>41.6</v>
      </c>
      <c r="E29" s="382">
        <f>D29/L29</f>
        <v>0.14857142857142858</v>
      </c>
      <c r="F29" s="14" t="s">
        <v>77</v>
      </c>
      <c r="G29" s="14" t="s">
        <v>98</v>
      </c>
      <c r="L29" s="14">
        <v>280</v>
      </c>
      <c r="S29" s="179"/>
      <c r="T29" s="179"/>
    </row>
    <row r="30" spans="1:24" x14ac:dyDescent="0.15">
      <c r="D30" s="17"/>
      <c r="E30" s="18"/>
      <c r="J30" s="179"/>
      <c r="K30" s="179" t="s">
        <v>221</v>
      </c>
      <c r="L30" s="179" t="s">
        <v>222</v>
      </c>
      <c r="S30" s="179"/>
      <c r="T30" s="179"/>
    </row>
    <row r="31" spans="1:24" x14ac:dyDescent="0.15">
      <c r="A31" s="16" t="s">
        <v>3</v>
      </c>
      <c r="B31" s="16" t="s">
        <v>129</v>
      </c>
      <c r="C31" s="16" t="s">
        <v>75</v>
      </c>
      <c r="D31" s="15" t="s">
        <v>65</v>
      </c>
      <c r="E31" s="15" t="s">
        <v>71</v>
      </c>
      <c r="F31" s="16" t="s">
        <v>72</v>
      </c>
      <c r="G31" s="16" t="s">
        <v>73</v>
      </c>
      <c r="H31" s="180" t="s">
        <v>235</v>
      </c>
      <c r="I31" s="180" t="s">
        <v>233</v>
      </c>
      <c r="J31" s="181" t="s">
        <v>223</v>
      </c>
      <c r="K31" s="181" t="s">
        <v>224</v>
      </c>
      <c r="L31" s="181" t="s">
        <v>225</v>
      </c>
      <c r="M31" s="16" t="s">
        <v>142</v>
      </c>
      <c r="N31" s="180" t="s">
        <v>226</v>
      </c>
      <c r="O31" s="180" t="s">
        <v>776</v>
      </c>
      <c r="S31" s="179"/>
      <c r="T31" s="179"/>
    </row>
    <row r="32" spans="1:24" x14ac:dyDescent="0.15">
      <c r="A32" s="14" t="s">
        <v>887</v>
      </c>
      <c r="B32" s="14" t="s">
        <v>679</v>
      </c>
      <c r="C32" s="14" t="s">
        <v>680</v>
      </c>
      <c r="D32" s="17">
        <v>173.33</v>
      </c>
      <c r="E32" s="382">
        <f>D32/L32</f>
        <v>0.28888333333333338</v>
      </c>
      <c r="F32" s="14" t="s">
        <v>80</v>
      </c>
      <c r="G32" s="14" t="s">
        <v>756</v>
      </c>
      <c r="H32" s="179">
        <v>1</v>
      </c>
      <c r="I32" s="179" t="s">
        <v>234</v>
      </c>
      <c r="J32" s="178">
        <v>500</v>
      </c>
      <c r="K32" s="178">
        <f>J32*0.8</f>
        <v>400</v>
      </c>
      <c r="L32" s="178">
        <f>J32*1.2</f>
        <v>600</v>
      </c>
      <c r="M32" s="21">
        <v>0.95</v>
      </c>
      <c r="N32" s="389">
        <f>L32/J32</f>
        <v>1.2</v>
      </c>
      <c r="O32" s="54">
        <v>0.5</v>
      </c>
      <c r="P32" s="179">
        <v>1</v>
      </c>
      <c r="Q32" s="179">
        <f>IFERROR(MATCH(P32,H:H,0),0)</f>
        <v>32</v>
      </c>
      <c r="R32" s="14" t="str">
        <f>"Components!A"&amp;Q32&amp;":A"&amp;Q34-1</f>
        <v>Components!A32:A73</v>
      </c>
      <c r="S32" s="179"/>
      <c r="T32" s="179"/>
      <c r="U32" s="178"/>
    </row>
    <row r="33" spans="1:21" x14ac:dyDescent="0.15">
      <c r="A33" s="14" t="s">
        <v>888</v>
      </c>
      <c r="B33" s="14" t="s">
        <v>99</v>
      </c>
      <c r="C33" s="14" t="s">
        <v>681</v>
      </c>
      <c r="D33" s="17">
        <v>85.12</v>
      </c>
      <c r="E33" s="382">
        <f t="shared" ref="E33:E96" si="4">D33/L33</f>
        <v>0.25793939393939397</v>
      </c>
      <c r="F33" s="14" t="s">
        <v>77</v>
      </c>
      <c r="H33" s="179">
        <v>1</v>
      </c>
      <c r="I33" s="179" t="s">
        <v>234</v>
      </c>
      <c r="J33" s="178">
        <v>275</v>
      </c>
      <c r="K33" s="178">
        <f t="shared" ref="K33:K96" si="5">J33*0.8</f>
        <v>220</v>
      </c>
      <c r="L33" s="178">
        <f>J33*1.2</f>
        <v>330</v>
      </c>
      <c r="M33" s="21">
        <v>0.96499999999999997</v>
      </c>
      <c r="N33" s="389">
        <f t="shared" ref="N33:N96" si="6">L33/J33</f>
        <v>1.2</v>
      </c>
      <c r="O33" s="54">
        <v>1</v>
      </c>
      <c r="P33" s="179">
        <v>2</v>
      </c>
      <c r="Q33" s="179">
        <f>IFERROR(MATCH(P33,H:H,0),0)</f>
        <v>0</v>
      </c>
      <c r="R33" s="179" t="str">
        <f>R32</f>
        <v>Components!A32:A73</v>
      </c>
      <c r="S33" s="179"/>
      <c r="T33" s="179"/>
      <c r="U33" s="178"/>
    </row>
    <row r="34" spans="1:21" x14ac:dyDescent="0.15">
      <c r="A34" s="14" t="s">
        <v>889</v>
      </c>
      <c r="B34" s="14" t="s">
        <v>682</v>
      </c>
      <c r="C34" s="14" t="s">
        <v>683</v>
      </c>
      <c r="D34" s="17">
        <v>955.79</v>
      </c>
      <c r="E34" s="382">
        <f t="shared" si="4"/>
        <v>0.41556086956521737</v>
      </c>
      <c r="F34" s="14" t="s">
        <v>77</v>
      </c>
      <c r="G34" s="14" t="s">
        <v>757</v>
      </c>
      <c r="H34" s="179">
        <v>1</v>
      </c>
      <c r="I34" s="179" t="s">
        <v>750</v>
      </c>
      <c r="J34" s="178">
        <v>2100</v>
      </c>
      <c r="K34" s="178">
        <f t="shared" si="5"/>
        <v>1680</v>
      </c>
      <c r="L34" s="178">
        <v>2300</v>
      </c>
      <c r="M34" s="21">
        <v>0.95099999999999996</v>
      </c>
      <c r="N34" s="389">
        <f t="shared" si="6"/>
        <v>1.0952380952380953</v>
      </c>
      <c r="O34" s="54">
        <v>0</v>
      </c>
      <c r="P34" s="179">
        <v>3</v>
      </c>
      <c r="Q34" s="179">
        <f>IFERROR(MATCH(P34,H:H,0),0)</f>
        <v>74</v>
      </c>
      <c r="R34" s="179" t="str">
        <f>"Components!A"&amp;Q34&amp;":A"&amp;Q35-1</f>
        <v>Components!A74:A102</v>
      </c>
      <c r="S34" s="179"/>
      <c r="T34" s="179"/>
      <c r="U34" s="178"/>
    </row>
    <row r="35" spans="1:21" x14ac:dyDescent="0.15">
      <c r="A35" s="14" t="s">
        <v>890</v>
      </c>
      <c r="B35" s="14" t="s">
        <v>682</v>
      </c>
      <c r="C35" s="14" t="s">
        <v>684</v>
      </c>
      <c r="D35" s="17">
        <v>1026.05</v>
      </c>
      <c r="E35" s="382">
        <f t="shared" si="4"/>
        <v>0.35381034482758617</v>
      </c>
      <c r="F35" s="14" t="s">
        <v>77</v>
      </c>
      <c r="G35" s="14" t="s">
        <v>757</v>
      </c>
      <c r="H35" s="179">
        <v>1</v>
      </c>
      <c r="I35" s="179" t="s">
        <v>750</v>
      </c>
      <c r="J35" s="178">
        <v>2600</v>
      </c>
      <c r="K35" s="178">
        <f t="shared" si="5"/>
        <v>2080</v>
      </c>
      <c r="L35" s="178">
        <v>2900</v>
      </c>
      <c r="M35" s="21">
        <v>0.95399999999999996</v>
      </c>
      <c r="N35" s="389">
        <f t="shared" si="6"/>
        <v>1.1153846153846154</v>
      </c>
      <c r="O35" s="54">
        <v>0</v>
      </c>
      <c r="Q35" s="179">
        <f>COUNTIF(H:H,P34)+Q34</f>
        <v>103</v>
      </c>
      <c r="S35" s="179"/>
      <c r="T35" s="179"/>
      <c r="U35" s="178"/>
    </row>
    <row r="36" spans="1:21" x14ac:dyDescent="0.15">
      <c r="A36" s="14" t="s">
        <v>891</v>
      </c>
      <c r="B36" s="14" t="s">
        <v>682</v>
      </c>
      <c r="C36" s="14" t="s">
        <v>685</v>
      </c>
      <c r="D36" s="17">
        <v>882</v>
      </c>
      <c r="E36" s="382">
        <f t="shared" si="4"/>
        <v>0.23519999999999999</v>
      </c>
      <c r="F36" s="14" t="s">
        <v>77</v>
      </c>
      <c r="G36" s="14" t="s">
        <v>758</v>
      </c>
      <c r="H36" s="179">
        <v>1</v>
      </c>
      <c r="I36" s="179" t="s">
        <v>750</v>
      </c>
      <c r="J36" s="178">
        <v>3000</v>
      </c>
      <c r="K36" s="178">
        <f t="shared" si="5"/>
        <v>2400</v>
      </c>
      <c r="L36" s="178">
        <f t="shared" ref="L36:L55" si="7">J36*1.25</f>
        <v>3750</v>
      </c>
      <c r="M36" s="21">
        <v>0.96</v>
      </c>
      <c r="N36" s="389">
        <f t="shared" si="6"/>
        <v>1.25</v>
      </c>
      <c r="O36" s="54">
        <v>0</v>
      </c>
      <c r="S36" s="179"/>
      <c r="T36" s="179"/>
      <c r="U36" s="178"/>
    </row>
    <row r="37" spans="1:21" x14ac:dyDescent="0.15">
      <c r="A37" s="14" t="s">
        <v>891</v>
      </c>
      <c r="B37" s="14" t="s">
        <v>682</v>
      </c>
      <c r="C37" s="14" t="s">
        <v>685</v>
      </c>
      <c r="D37" s="17">
        <v>972.51</v>
      </c>
      <c r="E37" s="382">
        <f t="shared" si="4"/>
        <v>0.25933600000000001</v>
      </c>
      <c r="F37" s="14" t="s">
        <v>77</v>
      </c>
      <c r="G37" s="14" t="s">
        <v>759</v>
      </c>
      <c r="H37" s="179">
        <v>1</v>
      </c>
      <c r="I37" s="179" t="s">
        <v>750</v>
      </c>
      <c r="J37" s="178">
        <v>3000</v>
      </c>
      <c r="K37" s="178">
        <f t="shared" si="5"/>
        <v>2400</v>
      </c>
      <c r="L37" s="178">
        <f t="shared" si="7"/>
        <v>3750</v>
      </c>
      <c r="M37" s="21">
        <v>0.96</v>
      </c>
      <c r="N37" s="389">
        <f t="shared" si="6"/>
        <v>1.25</v>
      </c>
      <c r="O37" s="54">
        <v>0</v>
      </c>
      <c r="S37" s="179"/>
      <c r="T37" s="179"/>
      <c r="U37" s="178"/>
    </row>
    <row r="38" spans="1:21" x14ac:dyDescent="0.15">
      <c r="A38" s="14" t="s">
        <v>892</v>
      </c>
      <c r="B38" s="14" t="s">
        <v>682</v>
      </c>
      <c r="C38" s="14" t="s">
        <v>686</v>
      </c>
      <c r="D38" s="17">
        <v>1079.58</v>
      </c>
      <c r="E38" s="382">
        <f t="shared" si="4"/>
        <v>0.23990666666666666</v>
      </c>
      <c r="F38" s="14" t="s">
        <v>77</v>
      </c>
      <c r="G38" s="14" t="s">
        <v>760</v>
      </c>
      <c r="H38" s="179">
        <v>1</v>
      </c>
      <c r="I38" s="179" t="s">
        <v>750</v>
      </c>
      <c r="J38" s="178">
        <v>3600</v>
      </c>
      <c r="K38" s="178">
        <f t="shared" si="5"/>
        <v>2880</v>
      </c>
      <c r="L38" s="178">
        <f t="shared" si="7"/>
        <v>4500</v>
      </c>
      <c r="M38" s="21">
        <v>0.96</v>
      </c>
      <c r="N38" s="389">
        <f t="shared" si="6"/>
        <v>1.25</v>
      </c>
      <c r="O38" s="54">
        <v>0</v>
      </c>
      <c r="S38" s="179"/>
      <c r="T38" s="179"/>
      <c r="U38" s="178"/>
    </row>
    <row r="39" spans="1:21" x14ac:dyDescent="0.15">
      <c r="A39" s="14" t="s">
        <v>893</v>
      </c>
      <c r="B39" s="14" t="s">
        <v>682</v>
      </c>
      <c r="C39" s="14" t="s">
        <v>687</v>
      </c>
      <c r="D39" s="17">
        <v>1113.04</v>
      </c>
      <c r="E39" s="382">
        <f t="shared" si="4"/>
        <v>0.23432421052631577</v>
      </c>
      <c r="F39" s="14" t="s">
        <v>77</v>
      </c>
      <c r="G39" s="14" t="s">
        <v>761</v>
      </c>
      <c r="H39" s="179">
        <v>1</v>
      </c>
      <c r="I39" s="179" t="s">
        <v>750</v>
      </c>
      <c r="J39" s="178">
        <v>3800</v>
      </c>
      <c r="K39" s="178">
        <f t="shared" si="5"/>
        <v>3040</v>
      </c>
      <c r="L39" s="178">
        <f t="shared" si="7"/>
        <v>4750</v>
      </c>
      <c r="M39" s="21">
        <v>0.96</v>
      </c>
      <c r="N39" s="389">
        <f t="shared" si="6"/>
        <v>1.25</v>
      </c>
      <c r="O39" s="54">
        <v>0</v>
      </c>
      <c r="S39" s="179"/>
      <c r="T39" s="179"/>
      <c r="U39" s="178"/>
    </row>
    <row r="40" spans="1:21" s="53" customFormat="1" x14ac:dyDescent="0.15">
      <c r="A40" s="53" t="s">
        <v>894</v>
      </c>
      <c r="B40" s="53" t="s">
        <v>682</v>
      </c>
      <c r="C40" s="53" t="s">
        <v>688</v>
      </c>
      <c r="D40" s="17">
        <v>1176.6099999999999</v>
      </c>
      <c r="E40" s="382">
        <f t="shared" si="4"/>
        <v>0.22411619047619047</v>
      </c>
      <c r="F40" s="53" t="s">
        <v>77</v>
      </c>
      <c r="G40" s="53" t="s">
        <v>762</v>
      </c>
      <c r="H40" s="179">
        <v>1</v>
      </c>
      <c r="I40" s="179" t="s">
        <v>750</v>
      </c>
      <c r="J40" s="178">
        <v>4200</v>
      </c>
      <c r="K40" s="178">
        <f t="shared" si="5"/>
        <v>3360</v>
      </c>
      <c r="L40" s="178">
        <f t="shared" si="7"/>
        <v>5250</v>
      </c>
      <c r="M40" s="21">
        <v>0.96</v>
      </c>
      <c r="N40" s="389">
        <f t="shared" si="6"/>
        <v>1.25</v>
      </c>
      <c r="O40" s="54">
        <v>0</v>
      </c>
      <c r="P40" s="179"/>
      <c r="Q40" s="179"/>
      <c r="S40" s="179"/>
      <c r="T40" s="179"/>
      <c r="U40" s="178"/>
    </row>
    <row r="41" spans="1:21" s="53" customFormat="1" x14ac:dyDescent="0.15">
      <c r="A41" s="53" t="s">
        <v>895</v>
      </c>
      <c r="B41" s="53" t="s">
        <v>682</v>
      </c>
      <c r="C41" s="53" t="s">
        <v>689</v>
      </c>
      <c r="D41" s="17">
        <v>1365.65</v>
      </c>
      <c r="E41" s="382">
        <f t="shared" si="4"/>
        <v>0.218504</v>
      </c>
      <c r="F41" s="53" t="s">
        <v>77</v>
      </c>
      <c r="G41" s="53" t="s">
        <v>763</v>
      </c>
      <c r="H41" s="179">
        <v>1</v>
      </c>
      <c r="I41" s="179" t="s">
        <v>750</v>
      </c>
      <c r="J41" s="178">
        <v>5000</v>
      </c>
      <c r="K41" s="178">
        <f t="shared" si="5"/>
        <v>4000</v>
      </c>
      <c r="L41" s="178">
        <f t="shared" si="7"/>
        <v>6250</v>
      </c>
      <c r="M41" s="21">
        <v>0.96499999999999997</v>
      </c>
      <c r="N41" s="389">
        <f t="shared" si="6"/>
        <v>1.25</v>
      </c>
      <c r="O41" s="54">
        <v>0</v>
      </c>
      <c r="P41" s="179"/>
      <c r="Q41" s="179"/>
      <c r="S41" s="179"/>
      <c r="T41" s="179"/>
      <c r="U41" s="178"/>
    </row>
    <row r="42" spans="1:21" s="53" customFormat="1" x14ac:dyDescent="0.15">
      <c r="A42" s="53" t="s">
        <v>896</v>
      </c>
      <c r="B42" s="53" t="s">
        <v>682</v>
      </c>
      <c r="C42" s="53" t="s">
        <v>690</v>
      </c>
      <c r="D42" s="17">
        <v>1513.42</v>
      </c>
      <c r="E42" s="382">
        <f t="shared" si="4"/>
        <v>0.20178933333333335</v>
      </c>
      <c r="F42" s="53" t="s">
        <v>77</v>
      </c>
      <c r="G42" s="53" t="s">
        <v>764</v>
      </c>
      <c r="H42" s="179">
        <v>1</v>
      </c>
      <c r="I42" s="179" t="s">
        <v>750</v>
      </c>
      <c r="J42" s="178">
        <v>6000</v>
      </c>
      <c r="K42" s="178">
        <f t="shared" si="5"/>
        <v>4800</v>
      </c>
      <c r="L42" s="178">
        <f t="shared" si="7"/>
        <v>7500</v>
      </c>
      <c r="M42" s="21">
        <v>0.96499999999999997</v>
      </c>
      <c r="N42" s="389">
        <f t="shared" si="6"/>
        <v>1.25</v>
      </c>
      <c r="O42" s="54">
        <v>0</v>
      </c>
      <c r="P42" s="179"/>
      <c r="Q42" s="179"/>
      <c r="S42" s="179"/>
      <c r="T42" s="179"/>
      <c r="U42" s="178"/>
    </row>
    <row r="43" spans="1:21" s="53" customFormat="1" x14ac:dyDescent="0.15">
      <c r="A43" s="53" t="s">
        <v>897</v>
      </c>
      <c r="B43" s="53" t="s">
        <v>691</v>
      </c>
      <c r="C43" s="53" t="s">
        <v>692</v>
      </c>
      <c r="D43" s="17">
        <v>1079.8599999999999</v>
      </c>
      <c r="E43" s="382">
        <f t="shared" si="4"/>
        <v>0.57592533333333329</v>
      </c>
      <c r="F43" s="53" t="s">
        <v>80</v>
      </c>
      <c r="G43" s="53" t="s">
        <v>765</v>
      </c>
      <c r="H43" s="179">
        <v>1</v>
      </c>
      <c r="I43" s="179" t="s">
        <v>751</v>
      </c>
      <c r="J43" s="178">
        <v>1500</v>
      </c>
      <c r="K43" s="178">
        <f t="shared" si="5"/>
        <v>1200</v>
      </c>
      <c r="L43" s="178">
        <f t="shared" si="7"/>
        <v>1875</v>
      </c>
      <c r="M43" s="21">
        <v>0.94499999999999995</v>
      </c>
      <c r="N43" s="389">
        <f t="shared" si="6"/>
        <v>1.25</v>
      </c>
      <c r="O43" s="54">
        <v>0</v>
      </c>
      <c r="P43" s="179"/>
      <c r="Q43" s="179"/>
      <c r="S43" s="179"/>
      <c r="T43" s="179"/>
      <c r="U43" s="178"/>
    </row>
    <row r="44" spans="1:21" s="53" customFormat="1" x14ac:dyDescent="0.15">
      <c r="A44" s="53" t="s">
        <v>898</v>
      </c>
      <c r="B44" s="53" t="s">
        <v>691</v>
      </c>
      <c r="C44" s="53" t="s">
        <v>693</v>
      </c>
      <c r="D44" s="17">
        <v>1165.26</v>
      </c>
      <c r="E44" s="382">
        <f t="shared" si="4"/>
        <v>0.46610400000000002</v>
      </c>
      <c r="F44" s="53" t="s">
        <v>80</v>
      </c>
      <c r="G44" s="53" t="s">
        <v>765</v>
      </c>
      <c r="H44" s="179">
        <v>1</v>
      </c>
      <c r="I44" s="179" t="s">
        <v>751</v>
      </c>
      <c r="J44" s="178">
        <v>2000</v>
      </c>
      <c r="K44" s="178">
        <f t="shared" si="5"/>
        <v>1600</v>
      </c>
      <c r="L44" s="178">
        <f t="shared" si="7"/>
        <v>2500</v>
      </c>
      <c r="M44" s="21">
        <v>0.94499999999999995</v>
      </c>
      <c r="N44" s="389">
        <f t="shared" si="6"/>
        <v>1.25</v>
      </c>
      <c r="O44" s="54">
        <v>0</v>
      </c>
      <c r="P44" s="179"/>
      <c r="Q44" s="179"/>
      <c r="S44" s="179"/>
      <c r="T44" s="179"/>
      <c r="U44" s="178"/>
    </row>
    <row r="45" spans="1:21" s="53" customFormat="1" x14ac:dyDescent="0.15">
      <c r="A45" s="53" t="s">
        <v>899</v>
      </c>
      <c r="B45" s="53" t="s">
        <v>691</v>
      </c>
      <c r="C45" s="53" t="s">
        <v>694</v>
      </c>
      <c r="D45" s="17">
        <v>1189.51</v>
      </c>
      <c r="E45" s="382">
        <f t="shared" si="4"/>
        <v>0.38064320000000001</v>
      </c>
      <c r="F45" s="53" t="s">
        <v>80</v>
      </c>
      <c r="G45" s="53" t="s">
        <v>765</v>
      </c>
      <c r="H45" s="179">
        <v>1</v>
      </c>
      <c r="I45" s="179" t="s">
        <v>751</v>
      </c>
      <c r="J45" s="178">
        <v>2500</v>
      </c>
      <c r="K45" s="178">
        <f t="shared" si="5"/>
        <v>2000</v>
      </c>
      <c r="L45" s="178">
        <f t="shared" si="7"/>
        <v>3125</v>
      </c>
      <c r="M45" s="21">
        <v>0.95</v>
      </c>
      <c r="N45" s="389">
        <f t="shared" si="6"/>
        <v>1.25</v>
      </c>
      <c r="O45" s="54">
        <v>0</v>
      </c>
      <c r="P45" s="179"/>
      <c r="Q45" s="179"/>
      <c r="S45" s="179"/>
      <c r="T45" s="179"/>
      <c r="U45" s="178"/>
    </row>
    <row r="46" spans="1:21" s="53" customFormat="1" x14ac:dyDescent="0.15">
      <c r="A46" s="53" t="s">
        <v>900</v>
      </c>
      <c r="B46" s="53" t="s">
        <v>691</v>
      </c>
      <c r="C46" s="53" t="s">
        <v>695</v>
      </c>
      <c r="D46" s="17">
        <v>1275.26</v>
      </c>
      <c r="E46" s="382">
        <f t="shared" si="4"/>
        <v>0.32909935483870967</v>
      </c>
      <c r="F46" s="53" t="s">
        <v>80</v>
      </c>
      <c r="G46" s="53" t="s">
        <v>765</v>
      </c>
      <c r="H46" s="179">
        <v>1</v>
      </c>
      <c r="I46" s="179" t="s">
        <v>751</v>
      </c>
      <c r="J46" s="178">
        <v>3100</v>
      </c>
      <c r="K46" s="178">
        <f t="shared" si="5"/>
        <v>2480</v>
      </c>
      <c r="L46" s="178">
        <f t="shared" si="7"/>
        <v>3875</v>
      </c>
      <c r="M46" s="21">
        <v>0.95</v>
      </c>
      <c r="N46" s="389">
        <f t="shared" si="6"/>
        <v>1.25</v>
      </c>
      <c r="O46" s="54">
        <v>0</v>
      </c>
      <c r="P46" s="179"/>
      <c r="Q46" s="179"/>
      <c r="S46" s="179"/>
      <c r="T46" s="179"/>
      <c r="U46" s="178"/>
    </row>
    <row r="47" spans="1:21" s="53" customFormat="1" x14ac:dyDescent="0.15">
      <c r="A47" s="53" t="s">
        <v>901</v>
      </c>
      <c r="B47" s="53" t="s">
        <v>691</v>
      </c>
      <c r="C47" s="53" t="s">
        <v>696</v>
      </c>
      <c r="D47" s="17">
        <v>1168.46</v>
      </c>
      <c r="E47" s="382">
        <f t="shared" si="4"/>
        <v>0.24599157894736842</v>
      </c>
      <c r="F47" s="53" t="s">
        <v>80</v>
      </c>
      <c r="G47" s="53" t="s">
        <v>230</v>
      </c>
      <c r="H47" s="179">
        <v>1</v>
      </c>
      <c r="I47" s="179" t="s">
        <v>751</v>
      </c>
      <c r="J47" s="178">
        <v>3800</v>
      </c>
      <c r="K47" s="178">
        <f t="shared" si="5"/>
        <v>3040</v>
      </c>
      <c r="L47" s="178">
        <f t="shared" si="7"/>
        <v>4750</v>
      </c>
      <c r="M47" s="21">
        <v>0.95</v>
      </c>
      <c r="N47" s="389">
        <f t="shared" si="6"/>
        <v>1.25</v>
      </c>
      <c r="O47" s="54">
        <v>0</v>
      </c>
      <c r="P47" s="179"/>
      <c r="Q47" s="179"/>
      <c r="S47" s="179"/>
      <c r="T47" s="179"/>
      <c r="U47" s="178"/>
    </row>
    <row r="48" spans="1:21" s="53" customFormat="1" x14ac:dyDescent="0.15">
      <c r="A48" s="53" t="s">
        <v>902</v>
      </c>
      <c r="B48" s="53" t="s">
        <v>691</v>
      </c>
      <c r="C48" s="53" t="s">
        <v>697</v>
      </c>
      <c r="D48" s="17">
        <v>1339.57</v>
      </c>
      <c r="E48" s="382">
        <f t="shared" si="4"/>
        <v>0.2143312</v>
      </c>
      <c r="F48" s="53" t="s">
        <v>80</v>
      </c>
      <c r="G48" s="53" t="s">
        <v>230</v>
      </c>
      <c r="H48" s="179">
        <v>1</v>
      </c>
      <c r="I48" s="179" t="s">
        <v>751</v>
      </c>
      <c r="J48" s="178">
        <v>5000</v>
      </c>
      <c r="K48" s="178">
        <f t="shared" si="5"/>
        <v>4000</v>
      </c>
      <c r="L48" s="178">
        <f t="shared" si="7"/>
        <v>6250</v>
      </c>
      <c r="M48" s="21">
        <v>0.95499999999999996</v>
      </c>
      <c r="N48" s="389">
        <f t="shared" si="6"/>
        <v>1.25</v>
      </c>
      <c r="O48" s="54">
        <v>0</v>
      </c>
      <c r="P48" s="179"/>
      <c r="Q48" s="179"/>
      <c r="S48" s="179"/>
      <c r="T48" s="179"/>
      <c r="U48" s="178"/>
    </row>
    <row r="49" spans="1:21" x14ac:dyDescent="0.15">
      <c r="A49" s="14" t="s">
        <v>903</v>
      </c>
      <c r="B49" s="14" t="s">
        <v>691</v>
      </c>
      <c r="C49" s="14" t="s">
        <v>698</v>
      </c>
      <c r="D49" s="17">
        <v>1488.18</v>
      </c>
      <c r="E49" s="382">
        <f t="shared" si="4"/>
        <v>0.19842400000000002</v>
      </c>
      <c r="F49" s="14" t="s">
        <v>80</v>
      </c>
      <c r="G49" s="14" t="s">
        <v>230</v>
      </c>
      <c r="H49" s="179">
        <v>1</v>
      </c>
      <c r="I49" s="179" t="s">
        <v>751</v>
      </c>
      <c r="J49" s="178">
        <v>6000</v>
      </c>
      <c r="K49" s="178">
        <f t="shared" si="5"/>
        <v>4800</v>
      </c>
      <c r="L49" s="178">
        <f t="shared" si="7"/>
        <v>7500</v>
      </c>
      <c r="M49" s="21">
        <v>0.96</v>
      </c>
      <c r="N49" s="389">
        <f t="shared" si="6"/>
        <v>1.25</v>
      </c>
      <c r="O49" s="54">
        <v>0</v>
      </c>
      <c r="S49" s="179"/>
      <c r="T49" s="179"/>
      <c r="U49" s="178"/>
    </row>
    <row r="50" spans="1:21" x14ac:dyDescent="0.15">
      <c r="A50" s="14" t="s">
        <v>904</v>
      </c>
      <c r="B50" s="14" t="s">
        <v>691</v>
      </c>
      <c r="C50" s="14" t="s">
        <v>699</v>
      </c>
      <c r="D50" s="17">
        <v>1757.06</v>
      </c>
      <c r="E50" s="382">
        <f t="shared" si="4"/>
        <v>0.1849536842105263</v>
      </c>
      <c r="F50" s="14" t="s">
        <v>80</v>
      </c>
      <c r="G50" s="53" t="s">
        <v>230</v>
      </c>
      <c r="H50" s="179">
        <v>1</v>
      </c>
      <c r="I50" s="179" t="s">
        <v>751</v>
      </c>
      <c r="J50" s="178">
        <v>7600</v>
      </c>
      <c r="K50" s="178">
        <f t="shared" si="5"/>
        <v>6080</v>
      </c>
      <c r="L50" s="178">
        <f t="shared" si="7"/>
        <v>9500</v>
      </c>
      <c r="M50" s="21">
        <v>0.96</v>
      </c>
      <c r="N50" s="389">
        <f t="shared" si="6"/>
        <v>1.25</v>
      </c>
      <c r="O50" s="54">
        <v>0</v>
      </c>
      <c r="S50" s="179"/>
      <c r="T50" s="179"/>
      <c r="U50" s="178"/>
    </row>
    <row r="51" spans="1:21" x14ac:dyDescent="0.15">
      <c r="A51" s="14" t="s">
        <v>905</v>
      </c>
      <c r="B51" s="14" t="s">
        <v>691</v>
      </c>
      <c r="C51" s="14" t="s">
        <v>700</v>
      </c>
      <c r="D51" s="17">
        <v>1862.88</v>
      </c>
      <c r="E51" s="382">
        <f t="shared" si="4"/>
        <v>0.18174439024390246</v>
      </c>
      <c r="F51" s="14" t="s">
        <v>80</v>
      </c>
      <c r="G51" s="53" t="s">
        <v>230</v>
      </c>
      <c r="H51" s="179">
        <v>1</v>
      </c>
      <c r="I51" s="179" t="s">
        <v>751</v>
      </c>
      <c r="J51" s="178">
        <v>8200</v>
      </c>
      <c r="K51" s="178">
        <f t="shared" si="5"/>
        <v>6560</v>
      </c>
      <c r="L51" s="178">
        <f t="shared" si="7"/>
        <v>10250</v>
      </c>
      <c r="M51" s="21">
        <v>0.96499999999999997</v>
      </c>
      <c r="N51" s="389">
        <f t="shared" si="6"/>
        <v>1.25</v>
      </c>
      <c r="O51" s="54">
        <v>0</v>
      </c>
      <c r="S51" s="179"/>
      <c r="T51" s="179"/>
      <c r="U51" s="178"/>
    </row>
    <row r="52" spans="1:21" x14ac:dyDescent="0.15">
      <c r="A52" s="14" t="s">
        <v>906</v>
      </c>
      <c r="B52" s="14" t="s">
        <v>691</v>
      </c>
      <c r="C52" s="14" t="s">
        <v>701</v>
      </c>
      <c r="D52" s="17">
        <v>2350.79</v>
      </c>
      <c r="E52" s="382">
        <f t="shared" si="4"/>
        <v>0.18806319999999999</v>
      </c>
      <c r="F52" s="14" t="s">
        <v>80</v>
      </c>
      <c r="G52" s="53" t="s">
        <v>230</v>
      </c>
      <c r="H52" s="179">
        <v>1</v>
      </c>
      <c r="I52" s="179" t="s">
        <v>751</v>
      </c>
      <c r="J52" s="178">
        <v>10000</v>
      </c>
      <c r="K52" s="178">
        <f t="shared" si="5"/>
        <v>8000</v>
      </c>
      <c r="L52" s="178">
        <f t="shared" si="7"/>
        <v>12500</v>
      </c>
      <c r="M52" s="21">
        <v>0.96699999999999997</v>
      </c>
      <c r="N52" s="389">
        <f t="shared" si="6"/>
        <v>1.25</v>
      </c>
      <c r="O52" s="54">
        <v>0</v>
      </c>
      <c r="S52" s="179"/>
      <c r="T52" s="179"/>
      <c r="U52" s="178"/>
    </row>
    <row r="53" spans="1:21" s="179" customFormat="1" x14ac:dyDescent="0.15">
      <c r="A53" s="179" t="s">
        <v>907</v>
      </c>
      <c r="B53" s="179" t="s">
        <v>691</v>
      </c>
      <c r="C53" s="179" t="s">
        <v>702</v>
      </c>
      <c r="D53" s="17">
        <v>2628.8</v>
      </c>
      <c r="E53" s="382">
        <f t="shared" si="4"/>
        <v>0.18447719298245616</v>
      </c>
      <c r="F53" s="179" t="s">
        <v>80</v>
      </c>
      <c r="G53" s="179" t="s">
        <v>230</v>
      </c>
      <c r="H53" s="179">
        <v>1</v>
      </c>
      <c r="I53" s="179" t="s">
        <v>751</v>
      </c>
      <c r="J53" s="178">
        <v>11400</v>
      </c>
      <c r="K53" s="178">
        <f t="shared" si="5"/>
        <v>9120</v>
      </c>
      <c r="L53" s="178">
        <f t="shared" si="7"/>
        <v>14250</v>
      </c>
      <c r="M53" s="21">
        <v>0.96699999999999997</v>
      </c>
      <c r="N53" s="389">
        <f t="shared" si="6"/>
        <v>1.25</v>
      </c>
      <c r="O53" s="54">
        <v>0</v>
      </c>
      <c r="U53" s="178"/>
    </row>
    <row r="54" spans="1:21" s="179" customFormat="1" x14ac:dyDescent="0.15">
      <c r="A54" s="179" t="s">
        <v>908</v>
      </c>
      <c r="B54" s="179" t="s">
        <v>691</v>
      </c>
      <c r="C54" s="179" t="s">
        <v>703</v>
      </c>
      <c r="D54" s="17">
        <v>2844.62</v>
      </c>
      <c r="E54" s="382">
        <f t="shared" si="4"/>
        <v>0.18205568</v>
      </c>
      <c r="F54" s="179" t="s">
        <v>80</v>
      </c>
      <c r="G54" s="179" t="s">
        <v>230</v>
      </c>
      <c r="H54" s="179">
        <v>1</v>
      </c>
      <c r="I54" s="179" t="s">
        <v>751</v>
      </c>
      <c r="J54" s="178">
        <v>12500</v>
      </c>
      <c r="K54" s="178">
        <f t="shared" si="5"/>
        <v>10000</v>
      </c>
      <c r="L54" s="178">
        <f t="shared" si="7"/>
        <v>15625</v>
      </c>
      <c r="M54" s="21">
        <v>0.96699999999999997</v>
      </c>
      <c r="N54" s="389">
        <f t="shared" si="6"/>
        <v>1.25</v>
      </c>
      <c r="O54" s="54">
        <v>0</v>
      </c>
      <c r="S54" s="178"/>
      <c r="T54" s="178"/>
      <c r="U54" s="178"/>
    </row>
    <row r="55" spans="1:21" s="179" customFormat="1" x14ac:dyDescent="0.15">
      <c r="A55" s="179" t="s">
        <v>909</v>
      </c>
      <c r="B55" s="179" t="s">
        <v>691</v>
      </c>
      <c r="C55" s="179" t="s">
        <v>704</v>
      </c>
      <c r="D55" s="17">
        <v>3332.14</v>
      </c>
      <c r="E55" s="382">
        <f t="shared" si="4"/>
        <v>0.17771413333333333</v>
      </c>
      <c r="F55" s="179" t="s">
        <v>80</v>
      </c>
      <c r="G55" s="179" t="s">
        <v>230</v>
      </c>
      <c r="H55" s="179">
        <v>1</v>
      </c>
      <c r="I55" s="179" t="s">
        <v>751</v>
      </c>
      <c r="J55" s="178">
        <v>15000</v>
      </c>
      <c r="K55" s="178">
        <f t="shared" si="5"/>
        <v>12000</v>
      </c>
      <c r="L55" s="178">
        <f t="shared" si="7"/>
        <v>18750</v>
      </c>
      <c r="M55" s="21">
        <v>0.96699999999999997</v>
      </c>
      <c r="N55" s="389">
        <f t="shared" si="6"/>
        <v>1.25</v>
      </c>
      <c r="O55" s="54">
        <v>0</v>
      </c>
      <c r="S55" s="178"/>
      <c r="T55" s="178"/>
      <c r="U55" s="178"/>
    </row>
    <row r="56" spans="1:21" s="179" customFormat="1" x14ac:dyDescent="0.15">
      <c r="A56" s="179" t="s">
        <v>910</v>
      </c>
      <c r="B56" s="179" t="s">
        <v>705</v>
      </c>
      <c r="C56" s="179" t="s">
        <v>706</v>
      </c>
      <c r="D56" s="17">
        <v>883.5</v>
      </c>
      <c r="E56" s="382">
        <f t="shared" si="4"/>
        <v>0.2677272727272727</v>
      </c>
      <c r="F56" s="179" t="s">
        <v>77</v>
      </c>
      <c r="H56" s="179">
        <v>1</v>
      </c>
      <c r="I56" s="179" t="s">
        <v>750</v>
      </c>
      <c r="J56" s="178">
        <v>2500</v>
      </c>
      <c r="K56" s="178">
        <f t="shared" si="5"/>
        <v>2000</v>
      </c>
      <c r="L56" s="178">
        <v>3300</v>
      </c>
      <c r="M56" s="21">
        <v>0.97299999999999998</v>
      </c>
      <c r="N56" s="389">
        <f t="shared" si="6"/>
        <v>1.32</v>
      </c>
      <c r="O56" s="54">
        <v>0</v>
      </c>
      <c r="S56" s="178"/>
      <c r="T56" s="178"/>
      <c r="U56" s="178"/>
    </row>
    <row r="57" spans="1:21" s="179" customFormat="1" x14ac:dyDescent="0.15">
      <c r="A57" s="179" t="s">
        <v>911</v>
      </c>
      <c r="B57" s="179" t="s">
        <v>705</v>
      </c>
      <c r="C57" s="179" t="s">
        <v>707</v>
      </c>
      <c r="D57" s="17">
        <v>861.8</v>
      </c>
      <c r="E57" s="382">
        <f t="shared" si="4"/>
        <v>0.21544999999999997</v>
      </c>
      <c r="F57" s="179" t="s">
        <v>77</v>
      </c>
      <c r="H57" s="179">
        <v>1</v>
      </c>
      <c r="I57" s="179" t="s">
        <v>750</v>
      </c>
      <c r="J57" s="178">
        <v>3000</v>
      </c>
      <c r="K57" s="178">
        <f t="shared" si="5"/>
        <v>2400</v>
      </c>
      <c r="L57" s="178">
        <v>4000</v>
      </c>
      <c r="M57" s="21">
        <v>0.97399999999999998</v>
      </c>
      <c r="N57" s="389">
        <f t="shared" si="6"/>
        <v>1.3333333333333333</v>
      </c>
      <c r="O57" s="54">
        <v>0</v>
      </c>
      <c r="S57" s="178"/>
      <c r="T57" s="178"/>
      <c r="U57" s="178"/>
    </row>
    <row r="58" spans="1:21" s="179" customFormat="1" x14ac:dyDescent="0.15">
      <c r="A58" s="179" t="s">
        <v>912</v>
      </c>
      <c r="B58" s="179" t="s">
        <v>705</v>
      </c>
      <c r="C58" s="179" t="s">
        <v>708</v>
      </c>
      <c r="D58" s="17">
        <v>982.7</v>
      </c>
      <c r="E58" s="382">
        <f t="shared" si="4"/>
        <v>0.22853488372093025</v>
      </c>
      <c r="F58" s="179" t="s">
        <v>77</v>
      </c>
      <c r="H58" s="179">
        <v>1</v>
      </c>
      <c r="I58" s="179" t="s">
        <v>750</v>
      </c>
      <c r="J58" s="178">
        <v>3300</v>
      </c>
      <c r="K58" s="178">
        <f t="shared" si="5"/>
        <v>2640</v>
      </c>
      <c r="L58" s="178">
        <v>4300</v>
      </c>
      <c r="M58" s="21">
        <v>0.97399999999999998</v>
      </c>
      <c r="N58" s="389">
        <f t="shared" si="6"/>
        <v>1.303030303030303</v>
      </c>
      <c r="O58" s="54">
        <v>0</v>
      </c>
      <c r="S58" s="178"/>
      <c r="T58" s="178"/>
      <c r="U58" s="178"/>
    </row>
    <row r="59" spans="1:21" s="179" customFormat="1" x14ac:dyDescent="0.15">
      <c r="A59" s="179" t="s">
        <v>913</v>
      </c>
      <c r="B59" s="179" t="s">
        <v>705</v>
      </c>
      <c r="C59" s="179" t="s">
        <v>709</v>
      </c>
      <c r="D59" s="17">
        <v>1001.3</v>
      </c>
      <c r="E59" s="382">
        <f t="shared" si="4"/>
        <v>0.20860416666666665</v>
      </c>
      <c r="F59" s="179" t="s">
        <v>77</v>
      </c>
      <c r="H59" s="179">
        <v>1</v>
      </c>
      <c r="I59" s="179" t="s">
        <v>750</v>
      </c>
      <c r="J59" s="178">
        <v>3680</v>
      </c>
      <c r="K59" s="178">
        <f t="shared" si="5"/>
        <v>2944</v>
      </c>
      <c r="L59" s="178">
        <v>4800</v>
      </c>
      <c r="M59" s="21">
        <v>0.97499999999999998</v>
      </c>
      <c r="N59" s="389">
        <f t="shared" si="6"/>
        <v>1.3043478260869565</v>
      </c>
      <c r="O59" s="54">
        <v>0</v>
      </c>
      <c r="S59" s="178"/>
      <c r="T59" s="178"/>
      <c r="U59" s="178"/>
    </row>
    <row r="60" spans="1:21" s="179" customFormat="1" x14ac:dyDescent="0.15">
      <c r="A60" s="179" t="s">
        <v>914</v>
      </c>
      <c r="B60" s="179" t="s">
        <v>705</v>
      </c>
      <c r="C60" s="179" t="s">
        <v>710</v>
      </c>
      <c r="D60" s="17">
        <v>1069.5</v>
      </c>
      <c r="E60" s="382">
        <f t="shared" si="4"/>
        <v>0.17824999999999999</v>
      </c>
      <c r="F60" s="179" t="s">
        <v>77</v>
      </c>
      <c r="H60" s="179">
        <v>1</v>
      </c>
      <c r="I60" s="179" t="s">
        <v>750</v>
      </c>
      <c r="J60" s="178">
        <v>4600</v>
      </c>
      <c r="K60" s="178">
        <f t="shared" si="5"/>
        <v>3680</v>
      </c>
      <c r="L60" s="178">
        <v>6000</v>
      </c>
      <c r="M60" s="21">
        <v>0.97499999999999998</v>
      </c>
      <c r="N60" s="389">
        <f t="shared" si="6"/>
        <v>1.3043478260869565</v>
      </c>
      <c r="O60" s="54">
        <v>0</v>
      </c>
      <c r="S60" s="178"/>
      <c r="T60" s="178"/>
      <c r="U60" s="178"/>
    </row>
    <row r="61" spans="1:21" s="179" customFormat="1" x14ac:dyDescent="0.15">
      <c r="A61" s="179" t="s">
        <v>915</v>
      </c>
      <c r="B61" s="179" t="s">
        <v>705</v>
      </c>
      <c r="C61" s="179" t="s">
        <v>711</v>
      </c>
      <c r="D61" s="17">
        <v>1041.5999999999999</v>
      </c>
      <c r="E61" s="382">
        <f t="shared" si="4"/>
        <v>0.16024615384615384</v>
      </c>
      <c r="F61" s="179" t="s">
        <v>77</v>
      </c>
      <c r="H61" s="179">
        <v>1</v>
      </c>
      <c r="I61" s="179" t="s">
        <v>750</v>
      </c>
      <c r="J61" s="178">
        <v>5000</v>
      </c>
      <c r="K61" s="178">
        <f t="shared" si="5"/>
        <v>4000</v>
      </c>
      <c r="L61" s="178">
        <v>6500</v>
      </c>
      <c r="M61" s="21">
        <v>0.97599999999999998</v>
      </c>
      <c r="N61" s="389">
        <f t="shared" si="6"/>
        <v>1.3</v>
      </c>
      <c r="O61" s="54">
        <v>0</v>
      </c>
      <c r="S61" s="178"/>
      <c r="T61" s="178"/>
      <c r="U61" s="178"/>
    </row>
    <row r="62" spans="1:21" s="179" customFormat="1" x14ac:dyDescent="0.15">
      <c r="A62" s="179" t="s">
        <v>916</v>
      </c>
      <c r="B62" s="179" t="s">
        <v>705</v>
      </c>
      <c r="C62" s="179" t="s">
        <v>712</v>
      </c>
      <c r="D62" s="17">
        <v>1317.5</v>
      </c>
      <c r="E62" s="382">
        <f t="shared" si="4"/>
        <v>0.18821428571428572</v>
      </c>
      <c r="F62" s="179" t="s">
        <v>77</v>
      </c>
      <c r="H62" s="179">
        <v>1</v>
      </c>
      <c r="I62" s="179" t="s">
        <v>750</v>
      </c>
      <c r="J62" s="178">
        <v>6000</v>
      </c>
      <c r="K62" s="178">
        <f t="shared" si="5"/>
        <v>4800</v>
      </c>
      <c r="L62" s="178">
        <v>7000</v>
      </c>
      <c r="M62" s="21">
        <v>0.97599999999999998</v>
      </c>
      <c r="N62" s="389">
        <f t="shared" si="6"/>
        <v>1.1666666666666667</v>
      </c>
      <c r="O62" s="54">
        <v>0</v>
      </c>
      <c r="S62" s="178"/>
      <c r="T62" s="178"/>
      <c r="U62" s="178"/>
    </row>
    <row r="63" spans="1:21" s="179" customFormat="1" x14ac:dyDescent="0.15">
      <c r="A63" s="179" t="s">
        <v>917</v>
      </c>
      <c r="B63" s="179" t="s">
        <v>713</v>
      </c>
      <c r="C63" s="179" t="s">
        <v>714</v>
      </c>
      <c r="D63" s="17">
        <v>805.2</v>
      </c>
      <c r="E63" s="382">
        <f t="shared" si="4"/>
        <v>0.33550000000000002</v>
      </c>
      <c r="F63" s="179" t="s">
        <v>80</v>
      </c>
      <c r="G63" s="179" t="s">
        <v>766</v>
      </c>
      <c r="H63" s="179">
        <v>1</v>
      </c>
      <c r="I63" s="179" t="s">
        <v>752</v>
      </c>
      <c r="J63" s="178">
        <v>2000</v>
      </c>
      <c r="K63" s="178">
        <f t="shared" si="5"/>
        <v>1600</v>
      </c>
      <c r="L63" s="178">
        <v>2400</v>
      </c>
      <c r="M63" s="21">
        <v>0.96499999999999997</v>
      </c>
      <c r="N63" s="389">
        <f t="shared" si="6"/>
        <v>1.2</v>
      </c>
      <c r="O63" s="54">
        <v>0</v>
      </c>
      <c r="S63" s="178"/>
      <c r="T63" s="178"/>
      <c r="U63" s="178"/>
    </row>
    <row r="64" spans="1:21" s="179" customFormat="1" x14ac:dyDescent="0.15">
      <c r="A64" s="179" t="s">
        <v>846</v>
      </c>
      <c r="B64" s="179" t="s">
        <v>713</v>
      </c>
      <c r="C64" s="179" t="s">
        <v>715</v>
      </c>
      <c r="D64" s="17">
        <v>850.57</v>
      </c>
      <c r="E64" s="382">
        <f t="shared" si="4"/>
        <v>0.25774848484848484</v>
      </c>
      <c r="F64" s="179" t="s">
        <v>80</v>
      </c>
      <c r="G64" s="179" t="s">
        <v>766</v>
      </c>
      <c r="H64" s="179">
        <v>1</v>
      </c>
      <c r="I64" s="179" t="s">
        <v>752</v>
      </c>
      <c r="J64" s="178">
        <v>3000</v>
      </c>
      <c r="K64" s="178">
        <f t="shared" si="5"/>
        <v>2400</v>
      </c>
      <c r="L64" s="178">
        <v>3300</v>
      </c>
      <c r="M64" s="21">
        <v>0.96499999999999997</v>
      </c>
      <c r="N64" s="389">
        <f t="shared" si="6"/>
        <v>1.1000000000000001</v>
      </c>
      <c r="O64" s="54">
        <v>0</v>
      </c>
      <c r="S64" s="178"/>
      <c r="T64" s="178"/>
      <c r="U64" s="178"/>
    </row>
    <row r="65" spans="1:21" s="179" customFormat="1" x14ac:dyDescent="0.15">
      <c r="A65" s="179" t="s">
        <v>871</v>
      </c>
      <c r="B65" s="179" t="s">
        <v>713</v>
      </c>
      <c r="C65" s="179" t="s">
        <v>716</v>
      </c>
      <c r="D65" s="17">
        <v>895.93</v>
      </c>
      <c r="E65" s="382">
        <f t="shared" si="4"/>
        <v>0.18665208333333333</v>
      </c>
      <c r="F65" s="179" t="s">
        <v>80</v>
      </c>
      <c r="G65" s="179" t="s">
        <v>766</v>
      </c>
      <c r="H65" s="179">
        <v>1</v>
      </c>
      <c r="I65" s="179" t="s">
        <v>752</v>
      </c>
      <c r="J65" s="178">
        <v>4000</v>
      </c>
      <c r="K65" s="178">
        <f t="shared" si="5"/>
        <v>3200</v>
      </c>
      <c r="L65" s="178">
        <v>4800</v>
      </c>
      <c r="M65" s="21">
        <v>0.96499999999999997</v>
      </c>
      <c r="N65" s="389">
        <f t="shared" si="6"/>
        <v>1.2</v>
      </c>
      <c r="O65" s="54">
        <v>0</v>
      </c>
      <c r="S65" s="178"/>
      <c r="T65" s="178"/>
      <c r="U65" s="178"/>
    </row>
    <row r="66" spans="1:21" s="179" customFormat="1" x14ac:dyDescent="0.15">
      <c r="A66" s="179" t="s">
        <v>918</v>
      </c>
      <c r="B66" s="179" t="s">
        <v>713</v>
      </c>
      <c r="C66" s="179" t="s">
        <v>717</v>
      </c>
      <c r="D66" s="17">
        <v>941.3</v>
      </c>
      <c r="E66" s="382">
        <f t="shared" si="4"/>
        <v>0.15431147540983606</v>
      </c>
      <c r="F66" s="179" t="s">
        <v>80</v>
      </c>
      <c r="G66" s="179" t="s">
        <v>766</v>
      </c>
      <c r="H66" s="179">
        <v>1</v>
      </c>
      <c r="I66" s="179" t="s">
        <v>752</v>
      </c>
      <c r="J66" s="178">
        <v>5000</v>
      </c>
      <c r="K66" s="178">
        <f t="shared" si="5"/>
        <v>4000</v>
      </c>
      <c r="L66" s="178">
        <v>6100</v>
      </c>
      <c r="M66" s="21">
        <v>0.96499999999999997</v>
      </c>
      <c r="N66" s="389">
        <f t="shared" si="6"/>
        <v>1.22</v>
      </c>
      <c r="O66" s="54">
        <v>0</v>
      </c>
      <c r="S66" s="178"/>
      <c r="T66" s="178"/>
      <c r="U66" s="178"/>
    </row>
    <row r="67" spans="1:21" s="179" customFormat="1" x14ac:dyDescent="0.15">
      <c r="A67" s="179" t="s">
        <v>919</v>
      </c>
      <c r="B67" s="179" t="s">
        <v>718</v>
      </c>
      <c r="C67" s="179" t="s">
        <v>719</v>
      </c>
      <c r="D67" s="17">
        <v>680.4</v>
      </c>
      <c r="E67" s="382">
        <f t="shared" si="4"/>
        <v>0.42524999999999996</v>
      </c>
      <c r="F67" s="179" t="s">
        <v>77</v>
      </c>
      <c r="H67" s="179">
        <v>1</v>
      </c>
      <c r="I67" s="179" t="s">
        <v>750</v>
      </c>
      <c r="J67" s="178">
        <v>1500</v>
      </c>
      <c r="K67" s="178">
        <f t="shared" si="5"/>
        <v>1200</v>
      </c>
      <c r="L67" s="178">
        <v>1600</v>
      </c>
      <c r="M67" s="21">
        <v>0.96099999999999997</v>
      </c>
      <c r="N67" s="389">
        <f t="shared" si="6"/>
        <v>1.0666666666666667</v>
      </c>
      <c r="O67" s="54">
        <v>0</v>
      </c>
      <c r="S67" s="178"/>
      <c r="T67" s="178"/>
      <c r="U67" s="178"/>
    </row>
    <row r="68" spans="1:21" s="179" customFormat="1" x14ac:dyDescent="0.15">
      <c r="A68" s="179" t="s">
        <v>920</v>
      </c>
      <c r="B68" s="179" t="s">
        <v>718</v>
      </c>
      <c r="C68" s="179" t="s">
        <v>720</v>
      </c>
      <c r="D68" s="17">
        <v>913.5</v>
      </c>
      <c r="E68" s="382">
        <f t="shared" si="4"/>
        <v>0.3447169811320755</v>
      </c>
      <c r="F68" s="179" t="s">
        <v>77</v>
      </c>
      <c r="H68" s="179">
        <v>1</v>
      </c>
      <c r="I68" s="179" t="s">
        <v>750</v>
      </c>
      <c r="J68" s="178">
        <v>2500</v>
      </c>
      <c r="K68" s="178">
        <f t="shared" si="5"/>
        <v>2000</v>
      </c>
      <c r="L68" s="178">
        <v>2650</v>
      </c>
      <c r="M68" s="21">
        <v>0.96699999999999997</v>
      </c>
      <c r="N68" s="389">
        <f t="shared" si="6"/>
        <v>1.06</v>
      </c>
      <c r="O68" s="54">
        <v>0</v>
      </c>
      <c r="S68" s="178"/>
      <c r="T68" s="178"/>
      <c r="U68" s="178"/>
    </row>
    <row r="69" spans="1:21" s="179" customFormat="1" x14ac:dyDescent="0.15">
      <c r="A69" s="179" t="s">
        <v>921</v>
      </c>
      <c r="B69" s="179" t="s">
        <v>718</v>
      </c>
      <c r="C69" s="179" t="s">
        <v>721</v>
      </c>
      <c r="D69" s="17">
        <v>1121.4000000000001</v>
      </c>
      <c r="E69" s="382">
        <f t="shared" si="4"/>
        <v>0.2893935483870968</v>
      </c>
      <c r="F69" s="179" t="s">
        <v>77</v>
      </c>
      <c r="G69" s="179" t="s">
        <v>767</v>
      </c>
      <c r="H69" s="179">
        <v>1</v>
      </c>
      <c r="I69" s="179" t="s">
        <v>750</v>
      </c>
      <c r="J69" s="178">
        <v>3100</v>
      </c>
      <c r="K69" s="178">
        <f t="shared" si="5"/>
        <v>2480</v>
      </c>
      <c r="L69" s="178">
        <f t="shared" ref="L69:L102" si="8">J69*1.25</f>
        <v>3875</v>
      </c>
      <c r="M69" s="21">
        <v>0.96499999999999997</v>
      </c>
      <c r="N69" s="389">
        <f t="shared" si="6"/>
        <v>1.25</v>
      </c>
      <c r="O69" s="54">
        <v>0</v>
      </c>
      <c r="S69" s="178"/>
      <c r="T69" s="178"/>
      <c r="U69" s="178"/>
    </row>
    <row r="70" spans="1:21" s="179" customFormat="1" x14ac:dyDescent="0.15">
      <c r="A70" s="179" t="s">
        <v>922</v>
      </c>
      <c r="B70" s="179" t="s">
        <v>718</v>
      </c>
      <c r="C70" s="179" t="s">
        <v>722</v>
      </c>
      <c r="D70" s="17">
        <v>1149.75</v>
      </c>
      <c r="E70" s="382">
        <f t="shared" si="4"/>
        <v>0.22994999999999999</v>
      </c>
      <c r="F70" s="179" t="s">
        <v>77</v>
      </c>
      <c r="G70" s="179" t="s">
        <v>767</v>
      </c>
      <c r="H70" s="179">
        <v>1</v>
      </c>
      <c r="I70" s="179" t="s">
        <v>750</v>
      </c>
      <c r="J70" s="178">
        <v>4000</v>
      </c>
      <c r="K70" s="178">
        <f t="shared" si="5"/>
        <v>3200</v>
      </c>
      <c r="L70" s="178">
        <f t="shared" si="8"/>
        <v>5000</v>
      </c>
      <c r="M70" s="21">
        <v>0.97499999999999998</v>
      </c>
      <c r="N70" s="389">
        <f t="shared" si="6"/>
        <v>1.25</v>
      </c>
      <c r="O70" s="54">
        <v>0</v>
      </c>
      <c r="S70" s="178"/>
      <c r="T70" s="178"/>
      <c r="U70" s="178"/>
    </row>
    <row r="71" spans="1:21" s="179" customFormat="1" x14ac:dyDescent="0.15">
      <c r="A71" s="179" t="s">
        <v>923</v>
      </c>
      <c r="B71" s="179" t="s">
        <v>718</v>
      </c>
      <c r="C71" s="179" t="s">
        <v>723</v>
      </c>
      <c r="D71" s="17">
        <v>1228.5</v>
      </c>
      <c r="E71" s="382">
        <f t="shared" si="4"/>
        <v>0.19083495145631069</v>
      </c>
      <c r="F71" s="179" t="s">
        <v>77</v>
      </c>
      <c r="G71" s="179" t="s">
        <v>767</v>
      </c>
      <c r="H71" s="179">
        <v>1</v>
      </c>
      <c r="I71" s="179" t="s">
        <v>750</v>
      </c>
      <c r="J71" s="178">
        <v>5150</v>
      </c>
      <c r="K71" s="178">
        <f t="shared" si="5"/>
        <v>4120</v>
      </c>
      <c r="L71" s="178">
        <f t="shared" si="8"/>
        <v>6437.5</v>
      </c>
      <c r="M71" s="21">
        <v>0.97</v>
      </c>
      <c r="N71" s="389">
        <f t="shared" si="6"/>
        <v>1.25</v>
      </c>
      <c r="O71" s="54">
        <v>0</v>
      </c>
      <c r="S71" s="178"/>
      <c r="T71" s="178"/>
      <c r="U71" s="178"/>
    </row>
    <row r="72" spans="1:21" s="179" customFormat="1" x14ac:dyDescent="0.15">
      <c r="A72" s="179" t="s">
        <v>924</v>
      </c>
      <c r="B72" s="179" t="s">
        <v>718</v>
      </c>
      <c r="C72" s="179" t="s">
        <v>724</v>
      </c>
      <c r="D72" s="17">
        <v>1316.7</v>
      </c>
      <c r="E72" s="382">
        <f t="shared" si="4"/>
        <v>0.17555999999999999</v>
      </c>
      <c r="F72" s="179" t="s">
        <v>77</v>
      </c>
      <c r="G72" s="179" t="s">
        <v>767</v>
      </c>
      <c r="H72" s="179">
        <v>1</v>
      </c>
      <c r="I72" s="179" t="s">
        <v>750</v>
      </c>
      <c r="J72" s="178">
        <v>6000</v>
      </c>
      <c r="K72" s="178">
        <f t="shared" si="5"/>
        <v>4800</v>
      </c>
      <c r="L72" s="178">
        <f t="shared" si="8"/>
        <v>7500</v>
      </c>
      <c r="M72" s="21">
        <v>0.97</v>
      </c>
      <c r="N72" s="389">
        <f t="shared" si="6"/>
        <v>1.25</v>
      </c>
      <c r="O72" s="54">
        <v>0</v>
      </c>
      <c r="S72" s="178"/>
      <c r="T72" s="178"/>
      <c r="U72" s="178"/>
    </row>
    <row r="73" spans="1:21" s="179" customFormat="1" x14ac:dyDescent="0.15">
      <c r="A73" s="179" t="s">
        <v>925</v>
      </c>
      <c r="B73" s="179" t="s">
        <v>718</v>
      </c>
      <c r="C73" s="179" t="s">
        <v>725</v>
      </c>
      <c r="D73" s="17">
        <v>1505.7</v>
      </c>
      <c r="E73" s="382">
        <f t="shared" si="4"/>
        <v>0.17208000000000001</v>
      </c>
      <c r="F73" s="179" t="s">
        <v>77</v>
      </c>
      <c r="G73" s="179" t="s">
        <v>767</v>
      </c>
      <c r="H73" s="179">
        <v>1</v>
      </c>
      <c r="I73" s="179" t="s">
        <v>750</v>
      </c>
      <c r="J73" s="178">
        <v>7000</v>
      </c>
      <c r="K73" s="178">
        <f t="shared" si="5"/>
        <v>5600</v>
      </c>
      <c r="L73" s="178">
        <f t="shared" si="8"/>
        <v>8750</v>
      </c>
      <c r="M73" s="21">
        <v>0.97</v>
      </c>
      <c r="N73" s="389">
        <f t="shared" si="6"/>
        <v>1.25</v>
      </c>
      <c r="O73" s="54">
        <v>0</v>
      </c>
      <c r="S73" s="178"/>
      <c r="T73" s="178"/>
      <c r="U73" s="178"/>
    </row>
    <row r="74" spans="1:21" s="179" customFormat="1" x14ac:dyDescent="0.15">
      <c r="A74" s="179" t="s">
        <v>926</v>
      </c>
      <c r="B74" s="179" t="s">
        <v>682</v>
      </c>
      <c r="C74" s="179" t="s">
        <v>726</v>
      </c>
      <c r="D74" s="17">
        <v>3669.15</v>
      </c>
      <c r="E74" s="382">
        <f t="shared" si="4"/>
        <v>0.29353200000000002</v>
      </c>
      <c r="F74" s="179" t="s">
        <v>80</v>
      </c>
      <c r="G74" s="179" t="s">
        <v>768</v>
      </c>
      <c r="H74" s="179">
        <v>3</v>
      </c>
      <c r="I74" s="179" t="s">
        <v>753</v>
      </c>
      <c r="J74" s="178">
        <v>10000</v>
      </c>
      <c r="K74" s="178">
        <f t="shared" si="5"/>
        <v>8000</v>
      </c>
      <c r="L74" s="178">
        <f t="shared" si="8"/>
        <v>12500</v>
      </c>
      <c r="M74" s="21">
        <v>0.97499999999999998</v>
      </c>
      <c r="N74" s="389">
        <f t="shared" si="6"/>
        <v>1.25</v>
      </c>
      <c r="O74" s="54">
        <v>0</v>
      </c>
      <c r="S74" s="178"/>
      <c r="T74" s="178"/>
      <c r="U74" s="178"/>
    </row>
    <row r="75" spans="1:21" s="179" customFormat="1" x14ac:dyDescent="0.15">
      <c r="A75" s="179" t="s">
        <v>927</v>
      </c>
      <c r="B75" s="179" t="s">
        <v>682</v>
      </c>
      <c r="C75" s="179" t="s">
        <v>727</v>
      </c>
      <c r="D75" s="17">
        <v>3128.99</v>
      </c>
      <c r="E75" s="382">
        <f t="shared" si="4"/>
        <v>0.12515959999999998</v>
      </c>
      <c r="F75" s="179" t="s">
        <v>80</v>
      </c>
      <c r="G75" s="179" t="s">
        <v>769</v>
      </c>
      <c r="H75" s="179">
        <v>3</v>
      </c>
      <c r="I75" s="179" t="s">
        <v>753</v>
      </c>
      <c r="J75" s="178">
        <v>20000</v>
      </c>
      <c r="K75" s="178">
        <f t="shared" si="5"/>
        <v>16000</v>
      </c>
      <c r="L75" s="178">
        <f t="shared" si="8"/>
        <v>25000</v>
      </c>
      <c r="M75" s="21">
        <v>0.97499999999999998</v>
      </c>
      <c r="N75" s="389">
        <f t="shared" si="6"/>
        <v>1.25</v>
      </c>
      <c r="O75" s="54">
        <v>0</v>
      </c>
      <c r="S75" s="178"/>
      <c r="T75" s="178"/>
      <c r="U75" s="178"/>
    </row>
    <row r="76" spans="1:21" s="179" customFormat="1" x14ac:dyDescent="0.15">
      <c r="A76" s="179" t="s">
        <v>928</v>
      </c>
      <c r="B76" s="179" t="s">
        <v>682</v>
      </c>
      <c r="C76" s="179" t="s">
        <v>728</v>
      </c>
      <c r="D76" s="17">
        <v>3648.47</v>
      </c>
      <c r="E76" s="382">
        <f t="shared" si="4"/>
        <v>0.10575275362318839</v>
      </c>
      <c r="F76" s="179" t="s">
        <v>80</v>
      </c>
      <c r="G76" s="179" t="s">
        <v>769</v>
      </c>
      <c r="H76" s="179">
        <v>3</v>
      </c>
      <c r="I76" s="179" t="s">
        <v>753</v>
      </c>
      <c r="J76" s="178">
        <v>27600</v>
      </c>
      <c r="K76" s="178">
        <f t="shared" si="5"/>
        <v>22080</v>
      </c>
      <c r="L76" s="178">
        <f t="shared" si="8"/>
        <v>34500</v>
      </c>
      <c r="M76" s="21">
        <v>0.97499999999999998</v>
      </c>
      <c r="N76" s="389">
        <f t="shared" si="6"/>
        <v>1.25</v>
      </c>
      <c r="O76" s="54">
        <v>0</v>
      </c>
      <c r="S76" s="178"/>
      <c r="T76" s="178"/>
      <c r="U76" s="178"/>
    </row>
    <row r="77" spans="1:21" s="179" customFormat="1" x14ac:dyDescent="0.15">
      <c r="A77" s="179" t="s">
        <v>929</v>
      </c>
      <c r="B77" s="179" t="s">
        <v>691</v>
      </c>
      <c r="C77" s="179" t="s">
        <v>227</v>
      </c>
      <c r="D77" s="17">
        <v>2600.37</v>
      </c>
      <c r="E77" s="382">
        <f t="shared" si="4"/>
        <v>0.20802959999999998</v>
      </c>
      <c r="F77" s="179" t="s">
        <v>80</v>
      </c>
      <c r="G77" s="179" t="s">
        <v>231</v>
      </c>
      <c r="H77" s="179">
        <v>3</v>
      </c>
      <c r="I77" s="179" t="s">
        <v>234</v>
      </c>
      <c r="J77" s="178">
        <v>10000</v>
      </c>
      <c r="K77" s="178">
        <f t="shared" si="5"/>
        <v>8000</v>
      </c>
      <c r="L77" s="178">
        <f t="shared" si="8"/>
        <v>12500</v>
      </c>
      <c r="M77" s="21">
        <v>0.96499999999999997</v>
      </c>
      <c r="N77" s="389">
        <f t="shared" si="6"/>
        <v>1.25</v>
      </c>
      <c r="O77" s="54">
        <v>0</v>
      </c>
      <c r="S77" s="178"/>
      <c r="T77" s="178"/>
      <c r="U77" s="178"/>
    </row>
    <row r="78" spans="1:21" s="179" customFormat="1" x14ac:dyDescent="0.15">
      <c r="A78" s="179" t="s">
        <v>930</v>
      </c>
      <c r="B78" s="179" t="s">
        <v>691</v>
      </c>
      <c r="C78" s="179" t="s">
        <v>228</v>
      </c>
      <c r="D78" s="17">
        <v>2902.72</v>
      </c>
      <c r="E78" s="382">
        <f t="shared" si="4"/>
        <v>0.19351466666666664</v>
      </c>
      <c r="F78" s="179" t="s">
        <v>80</v>
      </c>
      <c r="G78" s="179" t="s">
        <v>231</v>
      </c>
      <c r="H78" s="179">
        <v>3</v>
      </c>
      <c r="I78" s="179" t="s">
        <v>234</v>
      </c>
      <c r="J78" s="178">
        <v>12000</v>
      </c>
      <c r="K78" s="178">
        <f t="shared" si="5"/>
        <v>9600</v>
      </c>
      <c r="L78" s="178">
        <f t="shared" si="8"/>
        <v>15000</v>
      </c>
      <c r="M78" s="21">
        <v>0.96499999999999997</v>
      </c>
      <c r="N78" s="389">
        <f t="shared" si="6"/>
        <v>1.25</v>
      </c>
      <c r="O78" s="54">
        <v>0</v>
      </c>
      <c r="S78" s="178"/>
      <c r="T78" s="178"/>
      <c r="U78" s="178"/>
    </row>
    <row r="79" spans="1:21" s="179" customFormat="1" x14ac:dyDescent="0.15">
      <c r="A79" s="179" t="s">
        <v>931</v>
      </c>
      <c r="B79" s="179" t="s">
        <v>691</v>
      </c>
      <c r="C79" s="179" t="s">
        <v>229</v>
      </c>
      <c r="D79" s="17">
        <v>2680.75</v>
      </c>
      <c r="E79" s="382">
        <f t="shared" si="4"/>
        <v>0.14297333333333334</v>
      </c>
      <c r="F79" s="179" t="s">
        <v>80</v>
      </c>
      <c r="G79" s="179" t="s">
        <v>232</v>
      </c>
      <c r="H79" s="179">
        <v>3</v>
      </c>
      <c r="I79" s="179" t="s">
        <v>234</v>
      </c>
      <c r="J79" s="178">
        <v>15000</v>
      </c>
      <c r="K79" s="178">
        <f t="shared" si="5"/>
        <v>12000</v>
      </c>
      <c r="L79" s="178">
        <f t="shared" si="8"/>
        <v>18750</v>
      </c>
      <c r="M79" s="21">
        <v>0.96499999999999997</v>
      </c>
      <c r="N79" s="389">
        <f t="shared" si="6"/>
        <v>1.25</v>
      </c>
      <c r="O79" s="54">
        <v>0</v>
      </c>
      <c r="S79" s="178"/>
      <c r="T79" s="178"/>
      <c r="U79" s="178"/>
    </row>
    <row r="80" spans="1:21" s="179" customFormat="1" x14ac:dyDescent="0.15">
      <c r="A80" s="179" t="s">
        <v>932</v>
      </c>
      <c r="B80" s="179" t="s">
        <v>691</v>
      </c>
      <c r="C80" s="179" t="s">
        <v>729</v>
      </c>
      <c r="D80" s="17">
        <v>2509.6999999999998</v>
      </c>
      <c r="E80" s="382">
        <f t="shared" si="4"/>
        <v>0.20077599999999998</v>
      </c>
      <c r="F80" s="179" t="s">
        <v>80</v>
      </c>
      <c r="H80" s="179">
        <v>3</v>
      </c>
      <c r="I80" s="179" t="s">
        <v>753</v>
      </c>
      <c r="J80" s="178">
        <v>10000</v>
      </c>
      <c r="K80" s="178">
        <f t="shared" si="5"/>
        <v>8000</v>
      </c>
      <c r="L80" s="178">
        <f t="shared" si="8"/>
        <v>12500</v>
      </c>
      <c r="M80" s="21">
        <v>0.96499999999999997</v>
      </c>
      <c r="N80" s="389">
        <f t="shared" si="6"/>
        <v>1.25</v>
      </c>
      <c r="O80" s="54">
        <v>0</v>
      </c>
      <c r="S80" s="178"/>
      <c r="T80" s="178"/>
      <c r="U80" s="178"/>
    </row>
    <row r="81" spans="1:21" s="179" customFormat="1" x14ac:dyDescent="0.15">
      <c r="A81" s="179" t="s">
        <v>933</v>
      </c>
      <c r="B81" s="179" t="s">
        <v>691</v>
      </c>
      <c r="C81" s="179" t="s">
        <v>730</v>
      </c>
      <c r="D81" s="17">
        <v>2727.29</v>
      </c>
      <c r="E81" s="382">
        <f t="shared" si="4"/>
        <v>0.17454655999999999</v>
      </c>
      <c r="F81" s="179" t="s">
        <v>80</v>
      </c>
      <c r="H81" s="179">
        <v>3</v>
      </c>
      <c r="I81" s="179" t="s">
        <v>753</v>
      </c>
      <c r="J81" s="178">
        <v>12500</v>
      </c>
      <c r="K81" s="178">
        <f t="shared" si="5"/>
        <v>10000</v>
      </c>
      <c r="L81" s="178">
        <f t="shared" si="8"/>
        <v>15625</v>
      </c>
      <c r="M81" s="21">
        <v>0.97</v>
      </c>
      <c r="N81" s="389">
        <f t="shared" si="6"/>
        <v>1.25</v>
      </c>
      <c r="O81" s="54">
        <v>0</v>
      </c>
      <c r="S81" s="178"/>
      <c r="T81" s="178"/>
      <c r="U81" s="178"/>
    </row>
    <row r="82" spans="1:21" s="179" customFormat="1" x14ac:dyDescent="0.15">
      <c r="A82" s="179" t="s">
        <v>934</v>
      </c>
      <c r="B82" s="179" t="s">
        <v>691</v>
      </c>
      <c r="C82" s="179" t="s">
        <v>731</v>
      </c>
      <c r="D82" s="17">
        <v>2888.33</v>
      </c>
      <c r="E82" s="382">
        <f t="shared" si="4"/>
        <v>0.15404426666666665</v>
      </c>
      <c r="F82" s="179" t="s">
        <v>80</v>
      </c>
      <c r="H82" s="179">
        <v>3</v>
      </c>
      <c r="I82" s="179" t="s">
        <v>753</v>
      </c>
      <c r="J82" s="178">
        <v>15000</v>
      </c>
      <c r="K82" s="178">
        <f t="shared" si="5"/>
        <v>12000</v>
      </c>
      <c r="L82" s="178">
        <f t="shared" si="8"/>
        <v>18750</v>
      </c>
      <c r="M82" s="21">
        <v>0.97</v>
      </c>
      <c r="N82" s="389">
        <f t="shared" si="6"/>
        <v>1.25</v>
      </c>
      <c r="O82" s="54">
        <v>0</v>
      </c>
      <c r="S82" s="178"/>
      <c r="T82" s="178"/>
      <c r="U82" s="178"/>
    </row>
    <row r="83" spans="1:21" s="179" customFormat="1" x14ac:dyDescent="0.15">
      <c r="A83" s="179" t="s">
        <v>935</v>
      </c>
      <c r="B83" s="179" t="s">
        <v>691</v>
      </c>
      <c r="C83" s="179" t="s">
        <v>732</v>
      </c>
      <c r="D83" s="17">
        <v>2931.46</v>
      </c>
      <c r="E83" s="382">
        <f t="shared" si="4"/>
        <v>0.13400960000000001</v>
      </c>
      <c r="F83" s="179" t="s">
        <v>80</v>
      </c>
      <c r="H83" s="179">
        <v>3</v>
      </c>
      <c r="I83" s="179" t="s">
        <v>753</v>
      </c>
      <c r="J83" s="178">
        <v>17500</v>
      </c>
      <c r="K83" s="178">
        <f t="shared" si="5"/>
        <v>14000</v>
      </c>
      <c r="L83" s="178">
        <f t="shared" si="8"/>
        <v>21875</v>
      </c>
      <c r="M83" s="21">
        <v>0.97499999999999998</v>
      </c>
      <c r="N83" s="389">
        <f t="shared" si="6"/>
        <v>1.25</v>
      </c>
      <c r="O83" s="54">
        <v>0</v>
      </c>
      <c r="S83" s="178"/>
      <c r="T83" s="178"/>
      <c r="U83" s="178"/>
    </row>
    <row r="84" spans="1:21" s="179" customFormat="1" x14ac:dyDescent="0.15">
      <c r="A84" s="179" t="s">
        <v>936</v>
      </c>
      <c r="B84" s="179" t="s">
        <v>691</v>
      </c>
      <c r="C84" s="179" t="s">
        <v>733</v>
      </c>
      <c r="D84" s="17">
        <v>2876.64</v>
      </c>
      <c r="E84" s="382">
        <f t="shared" si="4"/>
        <v>0.11506559999999999</v>
      </c>
      <c r="F84" s="179" t="s">
        <v>80</v>
      </c>
      <c r="H84" s="179">
        <v>3</v>
      </c>
      <c r="I84" s="179" t="s">
        <v>753</v>
      </c>
      <c r="J84" s="178">
        <v>20000</v>
      </c>
      <c r="K84" s="178">
        <f t="shared" si="5"/>
        <v>16000</v>
      </c>
      <c r="L84" s="178">
        <f t="shared" si="8"/>
        <v>25000</v>
      </c>
      <c r="M84" s="21">
        <v>0.97499999999999998</v>
      </c>
      <c r="N84" s="389">
        <f t="shared" si="6"/>
        <v>1.25</v>
      </c>
      <c r="O84" s="54">
        <v>0</v>
      </c>
      <c r="S84" s="178"/>
      <c r="T84" s="178"/>
      <c r="U84" s="178"/>
    </row>
    <row r="85" spans="1:21" s="179" customFormat="1" x14ac:dyDescent="0.15">
      <c r="A85" s="179" t="s">
        <v>937</v>
      </c>
      <c r="B85" s="179" t="s">
        <v>691</v>
      </c>
      <c r="C85" s="179" t="s">
        <v>734</v>
      </c>
      <c r="D85" s="17">
        <v>2919.11</v>
      </c>
      <c r="E85" s="382">
        <f t="shared" si="4"/>
        <v>0.10287612334801763</v>
      </c>
      <c r="F85" s="179" t="s">
        <v>80</v>
      </c>
      <c r="H85" s="179">
        <v>3</v>
      </c>
      <c r="I85" s="179" t="s">
        <v>753</v>
      </c>
      <c r="J85" s="178">
        <v>22700</v>
      </c>
      <c r="K85" s="178">
        <f t="shared" si="5"/>
        <v>18160</v>
      </c>
      <c r="L85" s="178">
        <f t="shared" si="8"/>
        <v>28375</v>
      </c>
      <c r="M85" s="21">
        <v>0.97499999999999998</v>
      </c>
      <c r="N85" s="389">
        <f t="shared" si="6"/>
        <v>1.25</v>
      </c>
      <c r="O85" s="54">
        <v>0</v>
      </c>
      <c r="S85" s="178"/>
      <c r="T85" s="178"/>
      <c r="U85" s="178"/>
    </row>
    <row r="86" spans="1:21" s="179" customFormat="1" x14ac:dyDescent="0.15">
      <c r="A86" s="179" t="s">
        <v>938</v>
      </c>
      <c r="B86" s="179" t="s">
        <v>691</v>
      </c>
      <c r="C86" s="179" t="s">
        <v>735</v>
      </c>
      <c r="D86" s="17">
        <v>2990.74</v>
      </c>
      <c r="E86" s="382">
        <f t="shared" si="4"/>
        <v>9.9691333333333326E-2</v>
      </c>
      <c r="F86" s="179" t="s">
        <v>80</v>
      </c>
      <c r="H86" s="179">
        <v>3</v>
      </c>
      <c r="I86" s="179" t="s">
        <v>753</v>
      </c>
      <c r="J86" s="178">
        <v>24000</v>
      </c>
      <c r="K86" s="178">
        <f t="shared" si="5"/>
        <v>19200</v>
      </c>
      <c r="L86" s="178">
        <f t="shared" si="8"/>
        <v>30000</v>
      </c>
      <c r="M86" s="21">
        <v>0.97499999999999998</v>
      </c>
      <c r="N86" s="389">
        <f t="shared" si="6"/>
        <v>1.25</v>
      </c>
      <c r="O86" s="54">
        <v>0</v>
      </c>
      <c r="S86" s="178"/>
      <c r="T86" s="178"/>
      <c r="U86" s="178"/>
    </row>
    <row r="87" spans="1:21" s="179" customFormat="1" x14ac:dyDescent="0.15">
      <c r="A87" s="179" t="s">
        <v>939</v>
      </c>
      <c r="B87" s="179" t="s">
        <v>705</v>
      </c>
      <c r="C87" s="179" t="s">
        <v>736</v>
      </c>
      <c r="D87" s="17">
        <v>2340.5</v>
      </c>
      <c r="E87" s="382">
        <f t="shared" si="4"/>
        <v>0.12482666666666667</v>
      </c>
      <c r="F87" s="179" t="s">
        <v>77</v>
      </c>
      <c r="G87" s="179" t="s">
        <v>770</v>
      </c>
      <c r="H87" s="179">
        <v>3</v>
      </c>
      <c r="I87" s="179" t="s">
        <v>750</v>
      </c>
      <c r="J87" s="178">
        <v>15000</v>
      </c>
      <c r="K87" s="178">
        <f t="shared" si="5"/>
        <v>12000</v>
      </c>
      <c r="L87" s="178">
        <f t="shared" si="8"/>
        <v>18750</v>
      </c>
      <c r="M87" s="21">
        <v>0.98299999999999998</v>
      </c>
      <c r="N87" s="389">
        <f t="shared" si="6"/>
        <v>1.25</v>
      </c>
      <c r="O87" s="54">
        <v>0</v>
      </c>
      <c r="S87" s="178"/>
      <c r="T87" s="178"/>
      <c r="U87" s="178"/>
    </row>
    <row r="88" spans="1:21" s="179" customFormat="1" x14ac:dyDescent="0.15">
      <c r="A88" s="179" t="s">
        <v>940</v>
      </c>
      <c r="B88" s="179" t="s">
        <v>705</v>
      </c>
      <c r="C88" s="179" t="s">
        <v>737</v>
      </c>
      <c r="D88" s="17">
        <v>2697</v>
      </c>
      <c r="E88" s="382">
        <f t="shared" si="4"/>
        <v>0.14384</v>
      </c>
      <c r="F88" s="179" t="s">
        <v>77</v>
      </c>
      <c r="G88" s="179" t="s">
        <v>771</v>
      </c>
      <c r="H88" s="179">
        <v>3</v>
      </c>
      <c r="I88" s="179" t="s">
        <v>750</v>
      </c>
      <c r="J88" s="178">
        <v>15000</v>
      </c>
      <c r="K88" s="178">
        <f t="shared" si="5"/>
        <v>12000</v>
      </c>
      <c r="L88" s="178">
        <f t="shared" si="8"/>
        <v>18750</v>
      </c>
      <c r="M88" s="21">
        <v>0.98299999999999998</v>
      </c>
      <c r="N88" s="389">
        <f t="shared" si="6"/>
        <v>1.25</v>
      </c>
      <c r="O88" s="54">
        <v>0</v>
      </c>
      <c r="S88" s="178"/>
      <c r="T88" s="178"/>
      <c r="U88" s="178"/>
    </row>
    <row r="89" spans="1:21" s="179" customFormat="1" x14ac:dyDescent="0.15">
      <c r="A89" s="179" t="s">
        <v>941</v>
      </c>
      <c r="B89" s="179" t="s">
        <v>705</v>
      </c>
      <c r="C89" s="179" t="s">
        <v>738</v>
      </c>
      <c r="D89" s="17">
        <v>2697</v>
      </c>
      <c r="E89" s="382">
        <f t="shared" si="4"/>
        <v>0.10788</v>
      </c>
      <c r="F89" s="179" t="s">
        <v>77</v>
      </c>
      <c r="G89" s="179" t="s">
        <v>770</v>
      </c>
      <c r="H89" s="179">
        <v>3</v>
      </c>
      <c r="I89" s="179" t="s">
        <v>750</v>
      </c>
      <c r="J89" s="178">
        <v>20000</v>
      </c>
      <c r="K89" s="178">
        <f t="shared" si="5"/>
        <v>16000</v>
      </c>
      <c r="L89" s="178">
        <f t="shared" si="8"/>
        <v>25000</v>
      </c>
      <c r="M89" s="21">
        <v>0.98299999999999998</v>
      </c>
      <c r="N89" s="389">
        <f t="shared" si="6"/>
        <v>1.25</v>
      </c>
      <c r="O89" s="54">
        <v>0</v>
      </c>
      <c r="S89" s="178"/>
      <c r="T89" s="178"/>
      <c r="U89" s="178"/>
    </row>
    <row r="90" spans="1:21" s="179" customFormat="1" x14ac:dyDescent="0.15">
      <c r="A90" s="179" t="s">
        <v>942</v>
      </c>
      <c r="B90" s="179" t="s">
        <v>705</v>
      </c>
      <c r="C90" s="179" t="s">
        <v>739</v>
      </c>
      <c r="D90" s="17">
        <v>2991.5</v>
      </c>
      <c r="E90" s="382">
        <f t="shared" si="4"/>
        <v>0.11966</v>
      </c>
      <c r="F90" s="179" t="s">
        <v>77</v>
      </c>
      <c r="G90" s="179" t="s">
        <v>771</v>
      </c>
      <c r="H90" s="179">
        <v>3</v>
      </c>
      <c r="I90" s="179" t="s">
        <v>750</v>
      </c>
      <c r="J90" s="178">
        <v>20000</v>
      </c>
      <c r="K90" s="178">
        <f t="shared" si="5"/>
        <v>16000</v>
      </c>
      <c r="L90" s="178">
        <f t="shared" si="8"/>
        <v>25000</v>
      </c>
      <c r="M90" s="21">
        <v>0.98299999999999998</v>
      </c>
      <c r="N90" s="389">
        <f t="shared" si="6"/>
        <v>1.25</v>
      </c>
      <c r="O90" s="54">
        <v>0</v>
      </c>
      <c r="S90" s="178"/>
      <c r="T90" s="178"/>
      <c r="U90" s="178"/>
    </row>
    <row r="91" spans="1:21" s="179" customFormat="1" x14ac:dyDescent="0.15">
      <c r="A91" s="179" t="s">
        <v>943</v>
      </c>
      <c r="B91" s="179" t="s">
        <v>705</v>
      </c>
      <c r="C91" s="179" t="s">
        <v>740</v>
      </c>
      <c r="D91" s="17">
        <v>3400.7</v>
      </c>
      <c r="E91" s="382">
        <f t="shared" si="4"/>
        <v>0.11335666666666666</v>
      </c>
      <c r="F91" s="179" t="s">
        <v>77</v>
      </c>
      <c r="G91" s="179" t="s">
        <v>771</v>
      </c>
      <c r="H91" s="179">
        <v>3</v>
      </c>
      <c r="I91" s="179" t="s">
        <v>750</v>
      </c>
      <c r="J91" s="178">
        <v>24000</v>
      </c>
      <c r="K91" s="178">
        <f t="shared" si="5"/>
        <v>19200</v>
      </c>
      <c r="L91" s="178">
        <f t="shared" si="8"/>
        <v>30000</v>
      </c>
      <c r="M91" s="21">
        <v>0.98299999999999998</v>
      </c>
      <c r="N91" s="389">
        <f t="shared" si="6"/>
        <v>1.25</v>
      </c>
      <c r="O91" s="54">
        <v>0</v>
      </c>
      <c r="S91" s="178"/>
      <c r="T91" s="178"/>
      <c r="U91" s="178"/>
    </row>
    <row r="92" spans="1:21" s="179" customFormat="1" x14ac:dyDescent="0.15">
      <c r="A92" s="179" t="s">
        <v>944</v>
      </c>
      <c r="B92" s="179" t="s">
        <v>705</v>
      </c>
      <c r="C92" s="179" t="s">
        <v>741</v>
      </c>
      <c r="D92" s="17">
        <v>3948.78</v>
      </c>
      <c r="E92" s="382">
        <f t="shared" si="4"/>
        <v>9.5728000000000008E-2</v>
      </c>
      <c r="F92" s="179" t="s">
        <v>77</v>
      </c>
      <c r="G92" s="179" t="s">
        <v>771</v>
      </c>
      <c r="H92" s="179">
        <v>3</v>
      </c>
      <c r="I92" s="179" t="s">
        <v>750</v>
      </c>
      <c r="J92" s="178">
        <v>33000</v>
      </c>
      <c r="K92" s="178">
        <f t="shared" si="5"/>
        <v>26400</v>
      </c>
      <c r="L92" s="178">
        <f t="shared" si="8"/>
        <v>41250</v>
      </c>
      <c r="M92" s="21">
        <v>0.98299999999999998</v>
      </c>
      <c r="N92" s="389">
        <f t="shared" si="6"/>
        <v>1.25</v>
      </c>
      <c r="O92" s="54">
        <v>0</v>
      </c>
      <c r="S92" s="178"/>
      <c r="T92" s="178"/>
      <c r="U92" s="178"/>
    </row>
    <row r="93" spans="1:21" s="179" customFormat="1" x14ac:dyDescent="0.15">
      <c r="A93" s="179" t="s">
        <v>945</v>
      </c>
      <c r="B93" s="179" t="s">
        <v>705</v>
      </c>
      <c r="C93" s="179" t="s">
        <v>742</v>
      </c>
      <c r="D93" s="17">
        <v>4371</v>
      </c>
      <c r="E93" s="382">
        <f t="shared" si="4"/>
        <v>8.7419999999999998E-2</v>
      </c>
      <c r="F93" s="179" t="s">
        <v>77</v>
      </c>
      <c r="G93" s="179" t="s">
        <v>771</v>
      </c>
      <c r="H93" s="179">
        <v>3</v>
      </c>
      <c r="I93" s="179" t="s">
        <v>750</v>
      </c>
      <c r="J93" s="178">
        <v>40000</v>
      </c>
      <c r="K93" s="178">
        <f t="shared" si="5"/>
        <v>32000</v>
      </c>
      <c r="L93" s="178">
        <f t="shared" si="8"/>
        <v>50000</v>
      </c>
      <c r="M93" s="21">
        <v>0.98299999999999998</v>
      </c>
      <c r="N93" s="389">
        <f t="shared" si="6"/>
        <v>1.25</v>
      </c>
      <c r="O93" s="54">
        <v>0</v>
      </c>
      <c r="S93" s="178"/>
      <c r="T93" s="178"/>
      <c r="U93" s="178"/>
    </row>
    <row r="94" spans="1:21" s="179" customFormat="1" x14ac:dyDescent="0.15">
      <c r="A94" s="179" t="s">
        <v>946</v>
      </c>
      <c r="B94" s="179" t="s">
        <v>713</v>
      </c>
      <c r="C94" s="179" t="s">
        <v>743</v>
      </c>
      <c r="D94" s="17">
        <v>6603</v>
      </c>
      <c r="E94" s="382">
        <f t="shared" si="4"/>
        <v>0.13206000000000001</v>
      </c>
      <c r="F94" s="179" t="s">
        <v>755</v>
      </c>
      <c r="G94" s="179" t="s">
        <v>772</v>
      </c>
      <c r="H94" s="179">
        <v>3</v>
      </c>
      <c r="I94" s="179" t="s">
        <v>753</v>
      </c>
      <c r="J94" s="178">
        <v>40000</v>
      </c>
      <c r="K94" s="178">
        <f t="shared" si="5"/>
        <v>32000</v>
      </c>
      <c r="L94" s="178">
        <f t="shared" si="8"/>
        <v>50000</v>
      </c>
      <c r="M94" s="21">
        <v>0.97799999999999998</v>
      </c>
      <c r="N94" s="389">
        <f t="shared" si="6"/>
        <v>1.25</v>
      </c>
      <c r="O94" s="54">
        <v>0</v>
      </c>
      <c r="S94" s="178"/>
      <c r="T94" s="178"/>
      <c r="U94" s="178"/>
    </row>
    <row r="95" spans="1:21" s="179" customFormat="1" x14ac:dyDescent="0.15">
      <c r="A95" s="179" t="s">
        <v>947</v>
      </c>
      <c r="B95" s="179" t="s">
        <v>713</v>
      </c>
      <c r="C95" s="179" t="s">
        <v>744</v>
      </c>
      <c r="D95" s="17">
        <v>6984.3</v>
      </c>
      <c r="E95" s="382">
        <f t="shared" si="4"/>
        <v>0.139686</v>
      </c>
      <c r="F95" s="179" t="s">
        <v>755</v>
      </c>
      <c r="G95" s="179" t="s">
        <v>773</v>
      </c>
      <c r="H95" s="179">
        <v>3</v>
      </c>
      <c r="I95" s="179" t="s">
        <v>753</v>
      </c>
      <c r="J95" s="178">
        <v>40000</v>
      </c>
      <c r="K95" s="178">
        <f t="shared" si="5"/>
        <v>32000</v>
      </c>
      <c r="L95" s="178">
        <f t="shared" si="8"/>
        <v>50000</v>
      </c>
      <c r="M95" s="21">
        <v>0.97799999999999998</v>
      </c>
      <c r="N95" s="389">
        <f t="shared" si="6"/>
        <v>1.25</v>
      </c>
      <c r="O95" s="54">
        <v>0</v>
      </c>
      <c r="S95" s="178"/>
      <c r="T95" s="178"/>
      <c r="U95" s="178"/>
    </row>
    <row r="96" spans="1:21" s="179" customFormat="1" x14ac:dyDescent="0.15">
      <c r="A96" s="179" t="s">
        <v>948</v>
      </c>
      <c r="B96" s="179" t="s">
        <v>713</v>
      </c>
      <c r="C96" s="179" t="s">
        <v>745</v>
      </c>
      <c r="D96" s="17">
        <v>5549</v>
      </c>
      <c r="E96" s="382">
        <f t="shared" si="4"/>
        <v>8.8784000000000002E-2</v>
      </c>
      <c r="F96" s="179" t="s">
        <v>755</v>
      </c>
      <c r="H96" s="179">
        <v>3</v>
      </c>
      <c r="I96" s="179" t="s">
        <v>753</v>
      </c>
      <c r="J96" s="178">
        <v>50000</v>
      </c>
      <c r="K96" s="178">
        <f t="shared" si="5"/>
        <v>40000</v>
      </c>
      <c r="L96" s="178">
        <f t="shared" si="8"/>
        <v>62500</v>
      </c>
      <c r="M96" s="21"/>
      <c r="N96" s="389">
        <f t="shared" si="6"/>
        <v>1.25</v>
      </c>
      <c r="O96" s="54">
        <v>0</v>
      </c>
      <c r="S96" s="178"/>
      <c r="T96" s="178"/>
      <c r="U96" s="178"/>
    </row>
    <row r="97" spans="1:21" s="179" customFormat="1" x14ac:dyDescent="0.15">
      <c r="A97" s="179" t="s">
        <v>949</v>
      </c>
      <c r="B97" s="179" t="s">
        <v>718</v>
      </c>
      <c r="C97" s="179" t="s">
        <v>955</v>
      </c>
      <c r="D97" s="17">
        <v>3024</v>
      </c>
      <c r="E97" s="382">
        <f t="shared" ref="E97:E102" si="9">D97/L97</f>
        <v>0.24192</v>
      </c>
      <c r="F97" s="179" t="s">
        <v>77</v>
      </c>
      <c r="G97" s="179" t="s">
        <v>956</v>
      </c>
      <c r="H97" s="179">
        <v>3</v>
      </c>
      <c r="I97" s="179" t="s">
        <v>750</v>
      </c>
      <c r="J97" s="178">
        <v>10000</v>
      </c>
      <c r="K97" s="178">
        <f t="shared" ref="K97:K102" si="10">J97*0.8</f>
        <v>8000</v>
      </c>
      <c r="L97" s="178">
        <f t="shared" si="8"/>
        <v>12500</v>
      </c>
      <c r="M97" s="21">
        <v>0.98</v>
      </c>
      <c r="N97" s="389">
        <f t="shared" ref="N97:N102" si="11">L97/J97</f>
        <v>1.25</v>
      </c>
      <c r="O97" s="54">
        <v>0</v>
      </c>
      <c r="S97" s="178"/>
      <c r="T97" s="178"/>
      <c r="U97" s="178"/>
    </row>
    <row r="98" spans="1:21" s="179" customFormat="1" x14ac:dyDescent="0.15">
      <c r="A98" s="179" t="s">
        <v>950</v>
      </c>
      <c r="B98" s="179" t="s">
        <v>718</v>
      </c>
      <c r="C98" s="179" t="s">
        <v>746</v>
      </c>
      <c r="D98" s="17">
        <v>3329.55</v>
      </c>
      <c r="E98" s="382">
        <f t="shared" si="9"/>
        <v>0.22197</v>
      </c>
      <c r="F98" s="179" t="s">
        <v>77</v>
      </c>
      <c r="G98" s="179" t="s">
        <v>774</v>
      </c>
      <c r="H98" s="179">
        <v>3</v>
      </c>
      <c r="I98" s="179" t="s">
        <v>750</v>
      </c>
      <c r="J98" s="178">
        <v>12000</v>
      </c>
      <c r="K98" s="178">
        <f t="shared" si="10"/>
        <v>9600</v>
      </c>
      <c r="L98" s="178">
        <f t="shared" si="8"/>
        <v>15000</v>
      </c>
      <c r="M98" s="21">
        <v>0.97499999999999998</v>
      </c>
      <c r="N98" s="389">
        <f t="shared" si="11"/>
        <v>1.25</v>
      </c>
      <c r="O98" s="54">
        <v>0</v>
      </c>
      <c r="S98" s="178"/>
      <c r="T98" s="178"/>
      <c r="U98" s="178"/>
    </row>
    <row r="99" spans="1:21" s="179" customFormat="1" x14ac:dyDescent="0.15">
      <c r="A99" s="179" t="s">
        <v>951</v>
      </c>
      <c r="B99" s="179" t="s">
        <v>718</v>
      </c>
      <c r="C99" s="179" t="s">
        <v>747</v>
      </c>
      <c r="D99" s="17">
        <v>3792.6</v>
      </c>
      <c r="E99" s="382">
        <f t="shared" si="9"/>
        <v>0.20227200000000001</v>
      </c>
      <c r="F99" s="179" t="s">
        <v>77</v>
      </c>
      <c r="G99" s="179" t="s">
        <v>774</v>
      </c>
      <c r="H99" s="179">
        <v>3</v>
      </c>
      <c r="I99" s="179" t="s">
        <v>750</v>
      </c>
      <c r="J99" s="178">
        <v>15000</v>
      </c>
      <c r="K99" s="178">
        <f t="shared" si="10"/>
        <v>12000</v>
      </c>
      <c r="L99" s="178">
        <f t="shared" si="8"/>
        <v>18750</v>
      </c>
      <c r="M99" s="21">
        <v>0.97499999999999998</v>
      </c>
      <c r="N99" s="389">
        <f t="shared" si="11"/>
        <v>1.25</v>
      </c>
      <c r="O99" s="54">
        <v>0</v>
      </c>
      <c r="S99" s="178"/>
      <c r="T99" s="178"/>
      <c r="U99" s="178"/>
    </row>
    <row r="100" spans="1:21" s="179" customFormat="1" x14ac:dyDescent="0.15">
      <c r="A100" s="179" t="s">
        <v>952</v>
      </c>
      <c r="B100" s="179" t="s">
        <v>718</v>
      </c>
      <c r="C100" s="179" t="s">
        <v>748</v>
      </c>
      <c r="D100" s="17">
        <v>3921.75</v>
      </c>
      <c r="E100" s="382">
        <f t="shared" si="9"/>
        <v>0.15687000000000001</v>
      </c>
      <c r="F100" s="179" t="s">
        <v>77</v>
      </c>
      <c r="G100" s="179" t="s">
        <v>774</v>
      </c>
      <c r="H100" s="179">
        <v>3</v>
      </c>
      <c r="I100" s="179" t="s">
        <v>750</v>
      </c>
      <c r="J100" s="178">
        <v>20000</v>
      </c>
      <c r="K100" s="178">
        <f t="shared" si="10"/>
        <v>16000</v>
      </c>
      <c r="L100" s="178">
        <f t="shared" si="8"/>
        <v>25000</v>
      </c>
      <c r="M100" s="21">
        <v>0.97499999999999998</v>
      </c>
      <c r="N100" s="389">
        <f t="shared" si="11"/>
        <v>1.25</v>
      </c>
      <c r="O100" s="54">
        <v>0</v>
      </c>
      <c r="S100" s="178"/>
      <c r="T100" s="178"/>
      <c r="U100" s="178"/>
    </row>
    <row r="101" spans="1:21" s="179" customFormat="1" x14ac:dyDescent="0.15">
      <c r="A101" s="179" t="s">
        <v>953</v>
      </c>
      <c r="B101" s="179" t="s">
        <v>718</v>
      </c>
      <c r="C101" s="179" t="s">
        <v>749</v>
      </c>
      <c r="D101" s="17">
        <v>4126.5</v>
      </c>
      <c r="E101" s="382">
        <f t="shared" si="9"/>
        <v>0.11004</v>
      </c>
      <c r="F101" s="179" t="s">
        <v>77</v>
      </c>
      <c r="G101" s="179" t="s">
        <v>774</v>
      </c>
      <c r="H101" s="179">
        <v>3</v>
      </c>
      <c r="I101" s="179" t="s">
        <v>750</v>
      </c>
      <c r="J101" s="178">
        <v>30000</v>
      </c>
      <c r="K101" s="178">
        <f t="shared" si="10"/>
        <v>24000</v>
      </c>
      <c r="L101" s="178">
        <f t="shared" si="8"/>
        <v>37500</v>
      </c>
      <c r="M101" s="21">
        <v>0.98</v>
      </c>
      <c r="N101" s="389">
        <f t="shared" si="11"/>
        <v>1.25</v>
      </c>
      <c r="O101" s="54">
        <v>0</v>
      </c>
      <c r="S101" s="178"/>
      <c r="T101" s="178"/>
      <c r="U101" s="178"/>
    </row>
    <row r="102" spans="1:21" s="179" customFormat="1" x14ac:dyDescent="0.15">
      <c r="A102" s="179" t="s">
        <v>954</v>
      </c>
      <c r="B102" s="179" t="s">
        <v>718</v>
      </c>
      <c r="C102" s="179" t="s">
        <v>754</v>
      </c>
      <c r="D102" s="17">
        <v>6060.6</v>
      </c>
      <c r="E102" s="382">
        <f t="shared" si="9"/>
        <v>0.16161600000000001</v>
      </c>
      <c r="F102" s="179" t="s">
        <v>77</v>
      </c>
      <c r="G102" s="179" t="s">
        <v>774</v>
      </c>
      <c r="H102" s="179">
        <v>3</v>
      </c>
      <c r="I102" s="179" t="s">
        <v>750</v>
      </c>
      <c r="J102" s="178">
        <v>30000</v>
      </c>
      <c r="K102" s="178">
        <f t="shared" si="10"/>
        <v>24000</v>
      </c>
      <c r="L102" s="178">
        <f t="shared" si="8"/>
        <v>37500</v>
      </c>
      <c r="M102" s="21">
        <v>0.98</v>
      </c>
      <c r="N102" s="389">
        <f t="shared" si="11"/>
        <v>1.25</v>
      </c>
      <c r="O102" s="54">
        <v>0</v>
      </c>
      <c r="S102" s="178"/>
      <c r="T102" s="178"/>
      <c r="U102" s="178"/>
    </row>
    <row r="103" spans="1:21" x14ac:dyDescent="0.15">
      <c r="D103" s="17"/>
      <c r="E103" s="17"/>
    </row>
    <row r="104" spans="1:21" x14ac:dyDescent="0.15">
      <c r="A104" s="16" t="s">
        <v>111</v>
      </c>
      <c r="B104" s="16" t="s">
        <v>129</v>
      </c>
      <c r="C104" s="16" t="s">
        <v>75</v>
      </c>
      <c r="D104" s="15" t="s">
        <v>65</v>
      </c>
      <c r="E104" s="15" t="s">
        <v>71</v>
      </c>
      <c r="F104" s="16" t="s">
        <v>72</v>
      </c>
      <c r="G104" s="16" t="s">
        <v>73</v>
      </c>
      <c r="H104" s="180"/>
      <c r="I104" s="180"/>
      <c r="J104" s="16"/>
      <c r="K104" s="16"/>
      <c r="L104" s="19" t="s">
        <v>70</v>
      </c>
    </row>
    <row r="105" spans="1:21" x14ac:dyDescent="0.15">
      <c r="A105" s="14" t="str">
        <f>B105&amp;IF(C105="","","_"&amp;C105)</f>
        <v>Enphase_ENV-120 M</v>
      </c>
      <c r="B105" s="14" t="s">
        <v>99</v>
      </c>
      <c r="C105" s="14" t="s">
        <v>109</v>
      </c>
      <c r="D105" s="17">
        <v>201.3</v>
      </c>
      <c r="F105" s="14" t="s">
        <v>80</v>
      </c>
      <c r="G105" s="14" t="s">
        <v>113</v>
      </c>
      <c r="L105" s="17"/>
      <c r="R105" s="179" t="str">
        <f>"Components!A"&amp;ROW(A105)&amp;":A"&amp;ROW(A105)</f>
        <v>Components!A105:A105</v>
      </c>
    </row>
    <row r="106" spans="1:21" s="179" customFormat="1" x14ac:dyDescent="0.15">
      <c r="A106" s="179" t="str">
        <f>B106&amp;IF(C106="","","_"&amp;C106)</f>
        <v>APS_ECU-MX-YC500</v>
      </c>
      <c r="B106" s="179" t="s">
        <v>679</v>
      </c>
      <c r="C106" s="179" t="s">
        <v>775</v>
      </c>
      <c r="D106" s="17">
        <v>239.4</v>
      </c>
      <c r="F106" s="179" t="s">
        <v>77</v>
      </c>
      <c r="L106" s="17"/>
      <c r="R106" s="179" t="str">
        <f>"Components!A"&amp;ROW(A106)&amp;":A"&amp;ROW(A106)</f>
        <v>Components!A106:A106</v>
      </c>
    </row>
    <row r="107" spans="1:21" x14ac:dyDescent="0.15">
      <c r="A107" s="14" t="str">
        <f>B107&amp;IF(C107="","","_"&amp;C107)</f>
        <v>TIGO_CCA-PS-INT</v>
      </c>
      <c r="B107" s="14" t="s">
        <v>100</v>
      </c>
      <c r="C107" s="14" t="s">
        <v>101</v>
      </c>
      <c r="D107" s="17">
        <v>211.2</v>
      </c>
      <c r="E107" s="17"/>
      <c r="F107" s="14" t="s">
        <v>77</v>
      </c>
      <c r="G107" s="14" t="s">
        <v>102</v>
      </c>
      <c r="R107" s="179" t="str">
        <f>"Components!A"&amp;ROW(A107)&amp;":A"&amp;ROW(A107)+COUNTA($A$107:$A$110)-1</f>
        <v>Components!A107:A109</v>
      </c>
    </row>
    <row r="108" spans="1:21" x14ac:dyDescent="0.15">
      <c r="A108" s="14" t="str">
        <f>B108&amp;IF(C108="","","_"&amp;C108)</f>
        <v>TIGO_CCAK-IGDIN</v>
      </c>
      <c r="B108" s="14" t="s">
        <v>100</v>
      </c>
      <c r="C108" s="14" t="s">
        <v>103</v>
      </c>
      <c r="D108" s="17">
        <v>224.8</v>
      </c>
      <c r="E108" s="17"/>
      <c r="F108" s="14" t="s">
        <v>77</v>
      </c>
      <c r="G108" s="14" t="s">
        <v>104</v>
      </c>
    </row>
    <row r="109" spans="1:21" x14ac:dyDescent="0.15">
      <c r="A109" s="14" t="str">
        <f>B109&amp;IF(C109="","","_"&amp;C109)</f>
        <v>TIGO_CCA-DINOUT</v>
      </c>
      <c r="B109" s="14" t="s">
        <v>100</v>
      </c>
      <c r="C109" s="14" t="s">
        <v>105</v>
      </c>
      <c r="D109" s="17">
        <v>252.8</v>
      </c>
      <c r="E109" s="17"/>
      <c r="F109" s="14" t="s">
        <v>77</v>
      </c>
      <c r="G109" s="14" t="s">
        <v>106</v>
      </c>
    </row>
    <row r="110" spans="1:21" x14ac:dyDescent="0.15">
      <c r="D110" s="17"/>
      <c r="E110" s="17"/>
    </row>
    <row r="111" spans="1:21" x14ac:dyDescent="0.15">
      <c r="A111" s="16" t="s">
        <v>5</v>
      </c>
      <c r="B111" s="16" t="s">
        <v>129</v>
      </c>
      <c r="C111" s="16" t="s">
        <v>75</v>
      </c>
      <c r="D111" s="15" t="s">
        <v>65</v>
      </c>
      <c r="E111" s="15" t="s">
        <v>71</v>
      </c>
      <c r="F111" s="16" t="s">
        <v>72</v>
      </c>
      <c r="G111" s="16" t="s">
        <v>73</v>
      </c>
      <c r="H111" s="180"/>
      <c r="I111" s="180"/>
      <c r="J111" s="16"/>
      <c r="K111" s="16"/>
      <c r="L111" s="19" t="s">
        <v>70</v>
      </c>
    </row>
    <row r="112" spans="1:21" s="53" customFormat="1" x14ac:dyDescent="0.15">
      <c r="A112" s="53" t="s">
        <v>169</v>
      </c>
      <c r="D112" s="17">
        <f>266+IF(CFE_Hilos=3,114,38)</f>
        <v>304</v>
      </c>
      <c r="F112" s="53" t="s">
        <v>170</v>
      </c>
      <c r="G112" s="53" t="s">
        <v>171</v>
      </c>
      <c r="H112" s="179"/>
      <c r="I112" s="179"/>
      <c r="L112" s="17"/>
      <c r="P112" s="179"/>
      <c r="Q112" s="179"/>
    </row>
    <row r="113" spans="1:12" x14ac:dyDescent="0.15">
      <c r="D113" s="17"/>
      <c r="E113" s="17"/>
    </row>
    <row r="114" spans="1:12" x14ac:dyDescent="0.15">
      <c r="A114" s="16" t="s">
        <v>136</v>
      </c>
      <c r="B114" s="16" t="s">
        <v>129</v>
      </c>
      <c r="C114" s="16" t="s">
        <v>75</v>
      </c>
      <c r="D114" s="15" t="s">
        <v>65</v>
      </c>
      <c r="E114" s="15" t="s">
        <v>71</v>
      </c>
      <c r="F114" s="16" t="s">
        <v>72</v>
      </c>
      <c r="G114" s="16" t="s">
        <v>73</v>
      </c>
      <c r="H114" s="180"/>
      <c r="I114" s="180"/>
      <c r="J114" s="16"/>
      <c r="K114" s="16"/>
      <c r="L114" s="19" t="s">
        <v>70</v>
      </c>
    </row>
    <row r="115" spans="1:12" x14ac:dyDescent="0.15">
      <c r="A115" s="14" t="str">
        <f>B115&amp;IF(C115="","","_"&amp;C115)</f>
        <v>TIGO_GTWY-WCOMM</v>
      </c>
      <c r="B115" s="14" t="s">
        <v>100</v>
      </c>
      <c r="C115" s="14" t="s">
        <v>107</v>
      </c>
      <c r="D115" s="17">
        <v>64</v>
      </c>
      <c r="E115" s="17"/>
      <c r="F115" s="14" t="s">
        <v>77</v>
      </c>
      <c r="G115" s="14" t="s">
        <v>108</v>
      </c>
    </row>
    <row r="116" spans="1:12" x14ac:dyDescent="0.15">
      <c r="A116" s="14" t="str">
        <f>B116&amp;IF(C116="","","_"&amp;C116)</f>
        <v>Enphase_WF-01</v>
      </c>
      <c r="B116" s="53" t="s">
        <v>99</v>
      </c>
      <c r="C116" s="53" t="s">
        <v>110</v>
      </c>
      <c r="D116" s="17">
        <v>29.44</v>
      </c>
      <c r="F116" s="14" t="s">
        <v>77</v>
      </c>
      <c r="G116" s="14" t="s">
        <v>137</v>
      </c>
      <c r="L116" s="17"/>
    </row>
  </sheetData>
  <pageMargins left="0.7" right="0.7" top="0.75" bottom="0.75" header="0.3" footer="0.3"/>
  <pageSetup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D45"/>
  <sheetViews>
    <sheetView zoomScaleNormal="100" zoomScalePageLayoutView="130" workbookViewId="0">
      <pane xSplit="1" ySplit="3" topLeftCell="B4" activePane="bottomRight" state="frozen"/>
      <selection sqref="A1:H8"/>
      <selection pane="topRight" sqref="A1:H8"/>
      <selection pane="bottomLeft" sqref="A1:H8"/>
      <selection pane="bottomRight" activeCell="B4" sqref="B4"/>
    </sheetView>
  </sheetViews>
  <sheetFormatPr defaultColWidth="11.42578125" defaultRowHeight="10.5" x14ac:dyDescent="0.15"/>
  <cols>
    <col min="1" max="1" width="29.42578125" style="86" customWidth="1"/>
    <col min="2" max="4" width="7.85546875" style="86" bestFit="1" customWidth="1"/>
    <col min="5" max="9" width="7.85546875" style="57" bestFit="1" customWidth="1"/>
    <col min="10" max="12" width="8" style="57" bestFit="1" customWidth="1"/>
    <col min="13" max="13" width="7.85546875" style="86" bestFit="1" customWidth="1"/>
    <col min="14" max="14" width="12" style="57" bestFit="1" customWidth="1"/>
    <col min="15" max="15" width="11.42578125" style="57"/>
    <col min="16" max="16" width="37" style="57" bestFit="1" customWidth="1"/>
    <col min="17" max="29" width="5" style="57" bestFit="1" customWidth="1"/>
    <col min="30" max="16384" width="11.42578125" style="57"/>
  </cols>
  <sheetData>
    <row r="1" spans="1:15" x14ac:dyDescent="0.15">
      <c r="A1" s="504" t="s">
        <v>995</v>
      </c>
      <c r="B1" s="436">
        <f>IF(VLOOKUP(B2,Inputs!$A$36:$B$47,2,FALSE)="",CustUsage_kWhPerYear/12,VLOOKUP(B2,Inputs!$A$36:$B$47,2,FALSE))</f>
        <v>500</v>
      </c>
      <c r="C1" s="436">
        <f>IF(VLOOKUP(C2,Inputs!$A$36:$B$47,2,FALSE)="",CustUsage_kWhPerYear/12,VLOOKUP(C2,Inputs!$A$36:$B$47,2,FALSE))</f>
        <v>500</v>
      </c>
      <c r="D1" s="436">
        <f>IF(VLOOKUP(D2,Inputs!$A$36:$B$47,2,FALSE)="",CustUsage_kWhPerYear/12,VLOOKUP(D2,Inputs!$A$36:$B$47,2,FALSE))</f>
        <v>500</v>
      </c>
      <c r="E1" s="436">
        <f>IF(VLOOKUP(E2,Inputs!$A$36:$B$47,2,FALSE)="",CustUsage_kWhPerYear/12,VLOOKUP(E2,Inputs!$A$36:$B$47,2,FALSE))</f>
        <v>500</v>
      </c>
      <c r="F1" s="436">
        <f>IF(VLOOKUP(F2,Inputs!$A$36:$B$47,2,FALSE)="",CustUsage_kWhPerYear/12,VLOOKUP(F2,Inputs!$A$36:$B$47,2,FALSE))</f>
        <v>500</v>
      </c>
      <c r="G1" s="436">
        <f>IF(VLOOKUP(G2,Inputs!$A$36:$B$47,2,FALSE)="",CustUsage_kWhPerYear/12,VLOOKUP(G2,Inputs!$A$36:$B$47,2,FALSE))</f>
        <v>500</v>
      </c>
      <c r="H1" s="436">
        <f>IF(VLOOKUP(H2,Inputs!$A$36:$B$47,2,FALSE)="",CustUsage_kWhPerYear/12,VLOOKUP(H2,Inputs!$A$36:$B$47,2,FALSE))</f>
        <v>500</v>
      </c>
      <c r="I1" s="436">
        <f>IF(VLOOKUP(I2,Inputs!$A$36:$B$47,2,FALSE)="",CustUsage_kWhPerYear/12,VLOOKUP(I2,Inputs!$A$36:$B$47,2,FALSE))</f>
        <v>500</v>
      </c>
      <c r="J1" s="436">
        <f>IF(VLOOKUP(J2,Inputs!$A$36:$B$47,2,FALSE)="",CustUsage_kWhPerYear/12,VLOOKUP(J2,Inputs!$A$36:$B$47,2,FALSE))</f>
        <v>500</v>
      </c>
      <c r="K1" s="436">
        <f>IF(VLOOKUP(K2,Inputs!$A$36:$B$47,2,FALSE)="",CustUsage_kWhPerYear/12,VLOOKUP(K2,Inputs!$A$36:$B$47,2,FALSE))</f>
        <v>500</v>
      </c>
      <c r="L1" s="436">
        <f>IF(VLOOKUP(L2,Inputs!$A$36:$B$47,2,FALSE)="",CustUsage_kWhPerYear/12,VLOOKUP(L2,Inputs!$A$36:$B$47,2,FALSE))</f>
        <v>500</v>
      </c>
      <c r="M1" s="436">
        <f>IF(VLOOKUP(M2,Inputs!$A$36:$B$47,2,FALSE)="",CustUsage_kWhPerYear/12,VLOOKUP(M2,Inputs!$A$36:$B$47,2,FALSE))</f>
        <v>500</v>
      </c>
    </row>
    <row r="2" spans="1:15" x14ac:dyDescent="0.15">
      <c r="A2" s="85" t="s">
        <v>193</v>
      </c>
      <c r="B2" s="439" t="str">
        <f>VLOOKUP(B30,ListData!$B$173:$C$184,2,FALSE)</f>
        <v>OCT</v>
      </c>
      <c r="C2" s="439" t="str">
        <f>VLOOKUP(C30,ListData!$B$173:$C$184,2,FALSE)</f>
        <v>NOV</v>
      </c>
      <c r="D2" s="439" t="str">
        <f>VLOOKUP(D30,ListData!$B$173:$C$184,2,FALSE)</f>
        <v>DIC</v>
      </c>
      <c r="E2" s="439" t="str">
        <f>VLOOKUP(E30,ListData!$B$173:$C$184,2,FALSE)</f>
        <v>ENE</v>
      </c>
      <c r="F2" s="439" t="str">
        <f>VLOOKUP(F30,ListData!$B$173:$C$184,2,FALSE)</f>
        <v>FEB</v>
      </c>
      <c r="G2" s="439" t="str">
        <f>VLOOKUP(G30,ListData!$B$173:$C$184,2,FALSE)</f>
        <v>MAR</v>
      </c>
      <c r="H2" s="439" t="str">
        <f>VLOOKUP(H30,ListData!$B$173:$C$184,2,FALSE)</f>
        <v>ABR</v>
      </c>
      <c r="I2" s="439" t="str">
        <f>VLOOKUP(I30,ListData!$B$173:$C$184,2,FALSE)</f>
        <v>MAY</v>
      </c>
      <c r="J2" s="439" t="str">
        <f>VLOOKUP(J30,ListData!$B$173:$C$184,2,FALSE)</f>
        <v>JUN</v>
      </c>
      <c r="K2" s="439" t="str">
        <f>VLOOKUP(K30,ListData!$B$173:$C$184,2,FALSE)</f>
        <v>JUL</v>
      </c>
      <c r="L2" s="439" t="str">
        <f>VLOOKUP(L30,ListData!$B$173:$C$184,2,FALSE)</f>
        <v>AGO</v>
      </c>
      <c r="M2" s="439" t="str">
        <f>VLOOKUP(M30,ListData!$B$173:$C$184,2,FALSE)</f>
        <v>SEP</v>
      </c>
    </row>
    <row r="3" spans="1:15" ht="31.5" x14ac:dyDescent="0.15">
      <c r="A3" s="93" t="s">
        <v>46</v>
      </c>
      <c r="B3" s="88">
        <v>201610</v>
      </c>
      <c r="C3" s="88">
        <v>201611</v>
      </c>
      <c r="D3" s="88">
        <v>201612</v>
      </c>
      <c r="E3" s="88">
        <v>201701</v>
      </c>
      <c r="F3" s="88">
        <v>201702</v>
      </c>
      <c r="G3" s="88">
        <v>201703</v>
      </c>
      <c r="H3" s="88">
        <v>201704</v>
      </c>
      <c r="I3" s="88">
        <v>201705</v>
      </c>
      <c r="J3" s="88">
        <v>201706</v>
      </c>
      <c r="K3" s="88">
        <v>201707</v>
      </c>
      <c r="L3" s="88">
        <v>201708</v>
      </c>
      <c r="M3" s="88">
        <v>201709</v>
      </c>
      <c r="N3" s="88" t="s">
        <v>965</v>
      </c>
      <c r="O3" s="88" t="s">
        <v>986</v>
      </c>
    </row>
    <row r="4" spans="1:15" x14ac:dyDescent="0.15">
      <c r="A4" s="206" t="s">
        <v>47</v>
      </c>
      <c r="B4" s="57"/>
      <c r="C4" s="57"/>
      <c r="D4" s="206"/>
      <c r="E4" s="206"/>
      <c r="M4" s="206"/>
    </row>
    <row r="5" spans="1:15" x14ac:dyDescent="0.15">
      <c r="A5" s="86" t="s">
        <v>48</v>
      </c>
      <c r="B5" s="57">
        <v>92.86</v>
      </c>
      <c r="C5" s="57">
        <v>93.97</v>
      </c>
      <c r="D5" s="92">
        <v>94.17</v>
      </c>
      <c r="E5" s="92">
        <v>95.67</v>
      </c>
      <c r="F5" s="57">
        <v>97.01</v>
      </c>
      <c r="G5" s="57">
        <v>99.95</v>
      </c>
      <c r="H5" s="179">
        <v>100.55</v>
      </c>
      <c r="I5" s="57">
        <v>99.84</v>
      </c>
      <c r="J5" s="57">
        <v>98.71</v>
      </c>
      <c r="K5" s="57">
        <v>98.86</v>
      </c>
      <c r="L5" s="57">
        <v>98</v>
      </c>
      <c r="M5" s="92">
        <v>97.51</v>
      </c>
      <c r="N5" s="441"/>
      <c r="O5" s="441"/>
    </row>
    <row r="6" spans="1:15" x14ac:dyDescent="0.15">
      <c r="A6" s="86" t="s">
        <v>49</v>
      </c>
      <c r="B6" s="57">
        <v>3.7570000000000001</v>
      </c>
      <c r="C6" s="92">
        <v>3.8809999999999998</v>
      </c>
      <c r="D6" s="92">
        <v>3.9350000000000001</v>
      </c>
      <c r="E6" s="92">
        <v>4.0380000000000003</v>
      </c>
      <c r="F6" s="57">
        <v>4.1929999999999996</v>
      </c>
      <c r="G6" s="92">
        <v>4.5280000000000005</v>
      </c>
      <c r="H6" s="94">
        <v>4.4619999999999997</v>
      </c>
      <c r="I6" s="57">
        <v>4.2460000000000004</v>
      </c>
      <c r="J6" s="57">
        <v>4.2320000000000002</v>
      </c>
      <c r="K6" s="57">
        <v>4.2249999999999996</v>
      </c>
      <c r="L6" s="57">
        <v>4.1529999999999996</v>
      </c>
      <c r="M6" s="92">
        <v>4.1150000000000002</v>
      </c>
      <c r="N6" s="441"/>
      <c r="O6" s="441"/>
    </row>
    <row r="7" spans="1:15" x14ac:dyDescent="0.15">
      <c r="A7" s="206" t="s">
        <v>50</v>
      </c>
      <c r="B7" s="57"/>
      <c r="C7" s="57"/>
      <c r="D7" s="206"/>
      <c r="E7" s="206"/>
      <c r="H7" s="179"/>
      <c r="M7" s="206"/>
    </row>
    <row r="8" spans="1:15" x14ac:dyDescent="0.15">
      <c r="A8" s="86" t="s">
        <v>48</v>
      </c>
      <c r="B8" s="48">
        <v>92.86</v>
      </c>
      <c r="C8" s="57">
        <v>93.97</v>
      </c>
      <c r="D8" s="92">
        <v>94.17</v>
      </c>
      <c r="E8" s="92">
        <v>95.67</v>
      </c>
      <c r="F8" s="48">
        <f>F5</f>
        <v>97.01</v>
      </c>
      <c r="G8" s="57">
        <v>99.95</v>
      </c>
      <c r="H8" s="179">
        <v>100.55</v>
      </c>
      <c r="I8" s="57">
        <v>99.84</v>
      </c>
      <c r="J8" s="57">
        <v>98.71</v>
      </c>
      <c r="K8" s="57">
        <v>98.86</v>
      </c>
      <c r="L8" s="57">
        <v>98</v>
      </c>
      <c r="M8" s="92">
        <v>97.51</v>
      </c>
      <c r="N8" s="441"/>
      <c r="O8" s="441"/>
    </row>
    <row r="9" spans="1:15" x14ac:dyDescent="0.15">
      <c r="A9" s="86" t="s">
        <v>49</v>
      </c>
      <c r="B9" s="57">
        <v>3.226</v>
      </c>
      <c r="C9" s="92">
        <v>3.3330000000000002</v>
      </c>
      <c r="D9" s="92">
        <v>3.379</v>
      </c>
      <c r="E9" s="92">
        <v>3.468</v>
      </c>
      <c r="F9" s="57">
        <v>3.601</v>
      </c>
      <c r="G9" s="92">
        <v>3.8890000000000002</v>
      </c>
      <c r="H9" s="94">
        <v>3.8330000000000002</v>
      </c>
      <c r="I9" s="57">
        <v>3.6469999999999998</v>
      </c>
      <c r="J9" s="57">
        <v>3.6349999999999998</v>
      </c>
      <c r="K9" s="57">
        <v>3.629</v>
      </c>
      <c r="L9" s="57">
        <v>3.5670000000000002</v>
      </c>
      <c r="M9" s="92">
        <v>3.5350000000000001</v>
      </c>
      <c r="N9" s="441"/>
      <c r="O9" s="441"/>
    </row>
    <row r="10" spans="1:15" x14ac:dyDescent="0.15">
      <c r="A10" s="206" t="s">
        <v>843</v>
      </c>
      <c r="B10" s="57"/>
      <c r="C10" s="57"/>
      <c r="D10" s="206"/>
      <c r="E10" s="206"/>
      <c r="H10" s="179"/>
      <c r="M10" s="206"/>
    </row>
    <row r="11" spans="1:15" x14ac:dyDescent="0.15">
      <c r="A11" s="86" t="s">
        <v>48</v>
      </c>
      <c r="B11" s="48">
        <v>92.86</v>
      </c>
      <c r="C11" s="57">
        <v>93.97</v>
      </c>
      <c r="D11" s="92">
        <v>94.17</v>
      </c>
      <c r="E11" s="92">
        <v>95.67</v>
      </c>
      <c r="F11" s="48">
        <f>F$5</f>
        <v>97.01</v>
      </c>
      <c r="G11" s="57">
        <v>99.95</v>
      </c>
      <c r="H11" s="179">
        <v>100.55</v>
      </c>
      <c r="I11" s="57">
        <v>99.84</v>
      </c>
      <c r="J11" s="57">
        <v>98.71</v>
      </c>
      <c r="K11" s="57">
        <v>98.86</v>
      </c>
      <c r="L11" s="57">
        <v>98</v>
      </c>
      <c r="M11" s="92">
        <v>97.51</v>
      </c>
      <c r="N11" s="441"/>
      <c r="O11" s="441"/>
    </row>
    <row r="12" spans="1:15" x14ac:dyDescent="0.15">
      <c r="A12" s="86" t="s">
        <v>49</v>
      </c>
      <c r="B12" s="57">
        <v>4.0940000000000003</v>
      </c>
      <c r="C12" s="92">
        <v>4.2300000000000004</v>
      </c>
      <c r="D12" s="92">
        <v>4.2889999999999997</v>
      </c>
      <c r="E12" s="92">
        <v>4.4009999999999998</v>
      </c>
      <c r="F12" s="57">
        <v>4.57</v>
      </c>
      <c r="G12" s="92">
        <v>4.9350000000000005</v>
      </c>
      <c r="H12" s="94">
        <v>4.8629999999999995</v>
      </c>
      <c r="I12" s="57">
        <v>4.6280000000000001</v>
      </c>
      <c r="J12" s="57">
        <v>4.6120000000000001</v>
      </c>
      <c r="K12" s="57">
        <v>4.6050000000000004</v>
      </c>
      <c r="L12" s="57">
        <v>4.5259999999999998</v>
      </c>
      <c r="M12" s="92">
        <v>4.4850000000000003</v>
      </c>
      <c r="N12" s="441"/>
      <c r="O12" s="441"/>
    </row>
    <row r="13" spans="1:15" x14ac:dyDescent="0.15">
      <c r="A13" s="206" t="s">
        <v>844</v>
      </c>
      <c r="B13" s="57"/>
      <c r="C13" s="57"/>
      <c r="D13" s="206"/>
      <c r="E13" s="206"/>
      <c r="H13" s="179"/>
      <c r="M13" s="206"/>
    </row>
    <row r="14" spans="1:15" x14ac:dyDescent="0.15">
      <c r="A14" s="86" t="s">
        <v>48</v>
      </c>
      <c r="B14" s="48">
        <v>92.86</v>
      </c>
      <c r="C14" s="57">
        <v>93.97</v>
      </c>
      <c r="D14" s="92">
        <v>94.17</v>
      </c>
      <c r="E14" s="92">
        <v>95.67</v>
      </c>
      <c r="F14" s="48">
        <f>F$5</f>
        <v>97.01</v>
      </c>
      <c r="G14" s="57">
        <v>99.95</v>
      </c>
      <c r="H14" s="179">
        <v>100.55</v>
      </c>
      <c r="I14" s="57">
        <v>99.84</v>
      </c>
      <c r="J14" s="57">
        <v>98.71</v>
      </c>
      <c r="K14" s="57">
        <v>98.86</v>
      </c>
      <c r="L14" s="57">
        <v>98</v>
      </c>
      <c r="M14" s="92">
        <v>97.51</v>
      </c>
      <c r="N14" s="441"/>
      <c r="O14" s="441"/>
    </row>
    <row r="15" spans="1:15" x14ac:dyDescent="0.15">
      <c r="A15" s="86" t="s">
        <v>49</v>
      </c>
      <c r="B15" s="57">
        <v>3.226</v>
      </c>
      <c r="C15" s="92">
        <v>3.3330000000000002</v>
      </c>
      <c r="D15" s="92">
        <v>3.379</v>
      </c>
      <c r="E15" s="92">
        <v>3.468</v>
      </c>
      <c r="F15" s="57">
        <v>3.601</v>
      </c>
      <c r="G15" s="92">
        <v>3.8890000000000002</v>
      </c>
      <c r="H15" s="94">
        <v>3.8330000000000002</v>
      </c>
      <c r="I15" s="57">
        <v>3.6469999999999998</v>
      </c>
      <c r="J15" s="57">
        <v>3.6349999999999998</v>
      </c>
      <c r="K15" s="57">
        <v>3.629</v>
      </c>
      <c r="L15" s="57">
        <v>3.5670000000000002</v>
      </c>
      <c r="M15" s="92">
        <v>3.5350000000000001</v>
      </c>
      <c r="N15" s="441"/>
      <c r="O15" s="441"/>
    </row>
    <row r="16" spans="1:15" x14ac:dyDescent="0.15">
      <c r="A16" s="84" t="s">
        <v>52</v>
      </c>
      <c r="B16" s="57"/>
      <c r="C16" s="57"/>
      <c r="D16" s="57"/>
      <c r="H16" s="179"/>
      <c r="M16" s="57"/>
    </row>
    <row r="17" spans="1:30" x14ac:dyDescent="0.15">
      <c r="A17" s="86" t="s">
        <v>48</v>
      </c>
      <c r="B17" s="48">
        <v>92.86</v>
      </c>
      <c r="C17" s="57">
        <v>93.97</v>
      </c>
      <c r="D17" s="92">
        <v>94.17</v>
      </c>
      <c r="E17" s="92">
        <v>95.67</v>
      </c>
      <c r="F17" s="48">
        <f>F$5</f>
        <v>97.01</v>
      </c>
      <c r="G17" s="57">
        <v>99.95</v>
      </c>
      <c r="H17" s="179">
        <v>100.55</v>
      </c>
      <c r="I17" s="57">
        <v>99.84</v>
      </c>
      <c r="J17" s="57">
        <v>98.71</v>
      </c>
      <c r="K17" s="57">
        <v>98.86</v>
      </c>
      <c r="L17" s="57">
        <v>98</v>
      </c>
      <c r="M17" s="92">
        <v>97.51</v>
      </c>
      <c r="N17" s="441">
        <f>AVERAGE(B17:M17)</f>
        <v>97.25833333333334</v>
      </c>
      <c r="O17" s="441">
        <f>N17</f>
        <v>97.25833333333334</v>
      </c>
    </row>
    <row r="18" spans="1:30" x14ac:dyDescent="0.15">
      <c r="A18" s="86" t="s">
        <v>53</v>
      </c>
      <c r="B18" s="57">
        <v>3.62</v>
      </c>
      <c r="C18" s="92">
        <v>3.74</v>
      </c>
      <c r="D18" s="92">
        <v>3.7919999999999998</v>
      </c>
      <c r="E18" s="92">
        <v>3.891</v>
      </c>
      <c r="F18" s="57">
        <v>4.04</v>
      </c>
      <c r="G18" s="92">
        <v>4.3629999999999995</v>
      </c>
      <c r="H18" s="94">
        <v>4.3</v>
      </c>
      <c r="I18" s="57">
        <v>4.0919999999999996</v>
      </c>
      <c r="J18" s="57">
        <v>4.0780000000000003</v>
      </c>
      <c r="K18" s="57">
        <v>4.0709999999999997</v>
      </c>
      <c r="L18" s="57">
        <v>4.0010000000000003</v>
      </c>
      <c r="M18" s="92">
        <v>3.9649999999999999</v>
      </c>
      <c r="N18" s="441">
        <f>AVERAGE(B18:M18)</f>
        <v>3.9960833333333334</v>
      </c>
      <c r="O18" s="441">
        <f>IFERROR(SUMPRODUCT($B$1:$M$1,B18:M18)/CustUsage_kWhPerYear,N18)</f>
        <v>3.9960833333333334</v>
      </c>
    </row>
    <row r="19" spans="1:30" x14ac:dyDescent="0.15">
      <c r="A19" s="84" t="s">
        <v>54</v>
      </c>
      <c r="B19" s="57"/>
      <c r="C19" s="57"/>
      <c r="D19" s="92"/>
      <c r="H19" s="179"/>
      <c r="M19" s="57"/>
    </row>
    <row r="20" spans="1:30" x14ac:dyDescent="0.15">
      <c r="A20" s="86" t="s">
        <v>48</v>
      </c>
      <c r="B20" s="48">
        <v>92.86</v>
      </c>
      <c r="C20" s="57">
        <v>93.97</v>
      </c>
      <c r="D20" s="92">
        <v>94.17</v>
      </c>
      <c r="E20" s="92">
        <v>95.67</v>
      </c>
      <c r="F20" s="48">
        <f>F$5</f>
        <v>97.01</v>
      </c>
      <c r="G20" s="57">
        <v>99.95</v>
      </c>
      <c r="H20" s="179">
        <v>99.95</v>
      </c>
      <c r="I20" s="57">
        <v>99.84</v>
      </c>
      <c r="J20" s="57">
        <v>98.71</v>
      </c>
      <c r="K20" s="57">
        <v>98.86</v>
      </c>
      <c r="L20" s="57">
        <v>98</v>
      </c>
      <c r="M20" s="92">
        <v>97.51</v>
      </c>
      <c r="N20" s="441">
        <f>AVERAGE(B20:M20)</f>
        <v>97.208333333333357</v>
      </c>
      <c r="O20" s="441">
        <f>N20</f>
        <v>97.208333333333357</v>
      </c>
    </row>
    <row r="21" spans="1:30" x14ac:dyDescent="0.15">
      <c r="A21" s="86" t="s">
        <v>49</v>
      </c>
      <c r="B21" s="57">
        <v>3.5310000000000001</v>
      </c>
      <c r="C21" s="92">
        <v>3.6480000000000001</v>
      </c>
      <c r="D21" s="92">
        <v>3.6989999999999998</v>
      </c>
      <c r="E21" s="92">
        <v>3.7960000000000003</v>
      </c>
      <c r="F21" s="57">
        <v>3.9409999999999998</v>
      </c>
      <c r="G21" s="92">
        <v>4.2560000000000002</v>
      </c>
      <c r="H21" s="94">
        <v>4.194</v>
      </c>
      <c r="I21" s="57">
        <v>3.9910000000000001</v>
      </c>
      <c r="J21" s="57">
        <v>3.9769999999999999</v>
      </c>
      <c r="K21" s="57">
        <v>3.9710000000000001</v>
      </c>
      <c r="L21" s="57">
        <v>3.903</v>
      </c>
      <c r="M21" s="92">
        <v>3.867</v>
      </c>
      <c r="N21" s="441">
        <f>AVERAGE(B21:M21)</f>
        <v>3.8978333333333324</v>
      </c>
      <c r="O21" s="441">
        <f>IFERROR(SUMPRODUCT($B$1:$M$1,B21:M21)/CustUsage_kWhPerYear,N21)</f>
        <v>3.8978333333333333</v>
      </c>
    </row>
    <row r="22" spans="1:30" x14ac:dyDescent="0.15">
      <c r="A22" s="84" t="s">
        <v>55</v>
      </c>
      <c r="B22" s="57"/>
      <c r="C22" s="57"/>
      <c r="D22" s="57"/>
      <c r="E22" s="92"/>
      <c r="H22" s="179"/>
      <c r="M22" s="92"/>
    </row>
    <row r="23" spans="1:30" x14ac:dyDescent="0.15">
      <c r="A23" s="86" t="s">
        <v>48</v>
      </c>
      <c r="B23" s="48">
        <v>92.86</v>
      </c>
      <c r="C23" s="57">
        <v>93.97</v>
      </c>
      <c r="D23" s="92">
        <v>94.17</v>
      </c>
      <c r="E23" s="92">
        <v>95.67</v>
      </c>
      <c r="F23" s="48">
        <f>F$5</f>
        <v>97.01</v>
      </c>
      <c r="G23" s="57">
        <v>99.95</v>
      </c>
      <c r="H23" s="179">
        <v>100.55</v>
      </c>
      <c r="I23" s="57">
        <v>99.84</v>
      </c>
      <c r="J23" s="57">
        <v>98.71</v>
      </c>
      <c r="K23" s="57">
        <v>98.86</v>
      </c>
      <c r="L23" s="57">
        <v>98</v>
      </c>
      <c r="M23" s="92">
        <v>97.51</v>
      </c>
      <c r="N23" s="441">
        <f>AVERAGE(B23:M23)</f>
        <v>97.25833333333334</v>
      </c>
      <c r="O23" s="441">
        <f>N23</f>
        <v>97.25833333333334</v>
      </c>
    </row>
    <row r="24" spans="1:30" x14ac:dyDescent="0.15">
      <c r="A24" s="86" t="s">
        <v>49</v>
      </c>
      <c r="B24" s="57">
        <v>3.585</v>
      </c>
      <c r="C24" s="92">
        <v>3.7040000000000002</v>
      </c>
      <c r="D24" s="92">
        <v>3.7549999999999999</v>
      </c>
      <c r="E24" s="92">
        <v>3.8529999999999998</v>
      </c>
      <c r="F24" s="57">
        <v>4.0010000000000003</v>
      </c>
      <c r="G24" s="92">
        <v>4.3209999999999997</v>
      </c>
      <c r="H24" s="94">
        <v>4.258</v>
      </c>
      <c r="I24" s="57">
        <v>4.0519999999999996</v>
      </c>
      <c r="J24" s="57">
        <v>4.0380000000000003</v>
      </c>
      <c r="K24" s="57">
        <v>4.032</v>
      </c>
      <c r="L24" s="57">
        <v>3.9630000000000001</v>
      </c>
      <c r="M24" s="92">
        <v>3.927</v>
      </c>
      <c r="N24" s="441">
        <f>AVERAGE(B24:M24)</f>
        <v>3.957416666666667</v>
      </c>
      <c r="O24" s="441">
        <f>IFERROR(SUMPRODUCT($B$1:$M$1,B24:M24)/CustUsage_kWhPerYear,N24)</f>
        <v>3.9574166666666666</v>
      </c>
    </row>
    <row r="25" spans="1:30" x14ac:dyDescent="0.15">
      <c r="A25" s="84" t="s">
        <v>51</v>
      </c>
      <c r="B25" s="57"/>
      <c r="C25" s="57"/>
      <c r="D25" s="57"/>
      <c r="H25" s="179"/>
      <c r="M25" s="57"/>
    </row>
    <row r="26" spans="1:30" x14ac:dyDescent="0.15">
      <c r="A26" s="86" t="s">
        <v>48</v>
      </c>
      <c r="B26" s="48">
        <v>92.86</v>
      </c>
      <c r="C26" s="57">
        <v>93.97</v>
      </c>
      <c r="D26" s="92">
        <v>94.17</v>
      </c>
      <c r="E26" s="92">
        <v>95.67</v>
      </c>
      <c r="F26" s="48">
        <f>F$5</f>
        <v>97.01</v>
      </c>
      <c r="G26" s="57">
        <v>99.95</v>
      </c>
      <c r="H26" s="179">
        <v>100.55</v>
      </c>
      <c r="I26" s="57">
        <v>99.84</v>
      </c>
      <c r="J26" s="57">
        <v>98.71</v>
      </c>
      <c r="K26" s="57">
        <v>98.86</v>
      </c>
      <c r="L26" s="57">
        <v>98</v>
      </c>
      <c r="M26" s="92">
        <v>97.51</v>
      </c>
      <c r="N26" s="441">
        <f>AVERAGE(B26:M26)</f>
        <v>97.25833333333334</v>
      </c>
      <c r="O26" s="441">
        <f>N26</f>
        <v>97.25833333333334</v>
      </c>
    </row>
    <row r="27" spans="1:30" x14ac:dyDescent="0.15">
      <c r="A27" s="86" t="s">
        <v>49</v>
      </c>
      <c r="B27" s="57">
        <v>3.8660000000000001</v>
      </c>
      <c r="C27" s="92">
        <v>3.9940000000000002</v>
      </c>
      <c r="D27" s="92">
        <v>4.05</v>
      </c>
      <c r="E27" s="92">
        <v>4.1559999999999997</v>
      </c>
      <c r="F27" s="57">
        <v>4.3049999999999997</v>
      </c>
      <c r="G27" s="92">
        <v>4.66</v>
      </c>
      <c r="H27" s="94">
        <v>4.5919999999999996</v>
      </c>
      <c r="I27" s="57">
        <v>4.37</v>
      </c>
      <c r="J27" s="57">
        <v>4.3550000000000004</v>
      </c>
      <c r="K27" s="57">
        <v>4.3479999999999999</v>
      </c>
      <c r="L27" s="57">
        <v>4.274</v>
      </c>
      <c r="M27" s="92">
        <v>4.2350000000000003</v>
      </c>
      <c r="N27" s="441">
        <f>AVERAGE(B27:M27)</f>
        <v>4.2670833333333329</v>
      </c>
      <c r="O27" s="441">
        <f>IFERROR(SUMPRODUCT($B$1:$M$1,B27:M27)/CustUsage_kWhPerYear,N27)</f>
        <v>4.2670833333333329</v>
      </c>
    </row>
    <row r="28" spans="1:30" x14ac:dyDescent="0.15">
      <c r="B28" s="57"/>
      <c r="C28" s="57"/>
      <c r="D28" s="57"/>
      <c r="M28" s="57"/>
    </row>
    <row r="29" spans="1:30" x14ac:dyDescent="0.15">
      <c r="B29" s="57"/>
      <c r="C29" s="57"/>
      <c r="D29" s="57"/>
      <c r="M29" s="57"/>
      <c r="P29" s="57" t="s">
        <v>858</v>
      </c>
    </row>
    <row r="30" spans="1:30" x14ac:dyDescent="0.15">
      <c r="A30" s="86" t="s">
        <v>299</v>
      </c>
      <c r="B30" s="48">
        <f t="shared" ref="B30:L30" si="0">INT(RIGHT(B3,2))</f>
        <v>10</v>
      </c>
      <c r="C30" s="48">
        <f t="shared" si="0"/>
        <v>11</v>
      </c>
      <c r="D30" s="48">
        <f t="shared" si="0"/>
        <v>12</v>
      </c>
      <c r="E30" s="48">
        <f t="shared" si="0"/>
        <v>1</v>
      </c>
      <c r="F30" s="48">
        <f t="shared" si="0"/>
        <v>2</v>
      </c>
      <c r="G30" s="48">
        <f t="shared" si="0"/>
        <v>3</v>
      </c>
      <c r="H30" s="48">
        <f t="shared" si="0"/>
        <v>4</v>
      </c>
      <c r="I30" s="48">
        <f t="shared" si="0"/>
        <v>5</v>
      </c>
      <c r="J30" s="48">
        <f t="shared" si="0"/>
        <v>6</v>
      </c>
      <c r="K30" s="48">
        <f t="shared" si="0"/>
        <v>7</v>
      </c>
      <c r="L30" s="48">
        <f t="shared" si="0"/>
        <v>8</v>
      </c>
      <c r="M30" s="48">
        <f>INT(RIGHT(M3,2))</f>
        <v>9</v>
      </c>
      <c r="P30" s="57" t="s">
        <v>859</v>
      </c>
    </row>
    <row r="31" spans="1:30" x14ac:dyDescent="0.15">
      <c r="A31" s="86" t="s">
        <v>845</v>
      </c>
      <c r="B31" s="428" t="str">
        <f>IF(AND(B30&gt;=5,B30&lt;=10),"Summer", "Winter")</f>
        <v>Summer</v>
      </c>
      <c r="C31" s="428" t="str">
        <f>IF(AND(C30&gt;=5,C30&lt;=10),"Summer", "Winter")</f>
        <v>Winter</v>
      </c>
      <c r="D31" s="428" t="str">
        <f>IF(AND(D30&gt;=5,D30&lt;=10),"Summer", "Winter")</f>
        <v>Winter</v>
      </c>
      <c r="E31" s="428" t="str">
        <f t="shared" ref="E31:K31" si="1">IF(AND(E30&gt;=5,E30&lt;=10),"Summer", "Winter")</f>
        <v>Winter</v>
      </c>
      <c r="F31" s="428" t="str">
        <f t="shared" si="1"/>
        <v>Winter</v>
      </c>
      <c r="G31" s="428" t="str">
        <f t="shared" si="1"/>
        <v>Winter</v>
      </c>
      <c r="H31" s="428" t="str">
        <f t="shared" si="1"/>
        <v>Winter</v>
      </c>
      <c r="I31" s="428" t="str">
        <f t="shared" si="1"/>
        <v>Summer</v>
      </c>
      <c r="J31" s="428" t="str">
        <f t="shared" si="1"/>
        <v>Summer</v>
      </c>
      <c r="K31" s="428" t="str">
        <f t="shared" si="1"/>
        <v>Summer</v>
      </c>
      <c r="L31" s="428" t="str">
        <f>IF(AND(L30&gt;=5,L30&lt;=10),"Summer", "Winter")</f>
        <v>Summer</v>
      </c>
      <c r="M31" s="428" t="str">
        <f>IF(AND(M30&gt;=5,M30&lt;=10),"Summer", "Winter")</f>
        <v>Summer</v>
      </c>
      <c r="Q31" s="57" t="s">
        <v>851</v>
      </c>
      <c r="R31" s="57">
        <v>1</v>
      </c>
      <c r="S31" s="57">
        <v>2</v>
      </c>
      <c r="T31" s="57">
        <v>3</v>
      </c>
      <c r="U31" s="57">
        <v>4</v>
      </c>
      <c r="V31" s="57">
        <v>5</v>
      </c>
      <c r="W31" s="57">
        <v>6</v>
      </c>
      <c r="X31" s="57">
        <v>7</v>
      </c>
      <c r="Y31" s="57">
        <v>8</v>
      </c>
      <c r="Z31" s="57">
        <v>9</v>
      </c>
      <c r="AA31" s="57">
        <v>10</v>
      </c>
      <c r="AB31" s="57">
        <v>11</v>
      </c>
      <c r="AC31" s="57">
        <v>12</v>
      </c>
    </row>
    <row r="32" spans="1:30" x14ac:dyDescent="0.15">
      <c r="A32" s="206" t="s">
        <v>842</v>
      </c>
      <c r="B32" s="57"/>
      <c r="C32" s="57"/>
      <c r="D32" s="57"/>
      <c r="M32" s="57"/>
      <c r="P32" s="28" t="s">
        <v>847</v>
      </c>
      <c r="Q32" s="57">
        <v>74.7</v>
      </c>
      <c r="R32" s="57">
        <v>63.1</v>
      </c>
      <c r="S32" s="57">
        <v>64.599999999999994</v>
      </c>
      <c r="T32" s="57">
        <v>67.3</v>
      </c>
      <c r="U32" s="57">
        <v>71.8</v>
      </c>
      <c r="V32" s="57">
        <v>76.099999999999994</v>
      </c>
      <c r="W32" s="57">
        <v>80.599999999999994</v>
      </c>
      <c r="X32" s="57">
        <v>85.5</v>
      </c>
      <c r="Y32" s="57">
        <v>86.2</v>
      </c>
      <c r="Z32" s="57">
        <v>84.7</v>
      </c>
      <c r="AA32" s="57">
        <v>79.2</v>
      </c>
      <c r="AB32" s="57">
        <v>71.599999999999994</v>
      </c>
      <c r="AC32" s="57">
        <v>65.3</v>
      </c>
      <c r="AD32" s="57" t="s">
        <v>855</v>
      </c>
    </row>
    <row r="33" spans="1:30" x14ac:dyDescent="0.15">
      <c r="A33" s="86" t="s">
        <v>48</v>
      </c>
      <c r="B33" s="57">
        <f t="shared" ref="B33:L33" si="2">IF(B$31="Summer",B5,B8)</f>
        <v>92.86</v>
      </c>
      <c r="C33" s="57">
        <f t="shared" si="2"/>
        <v>93.97</v>
      </c>
      <c r="D33" s="57">
        <f t="shared" si="2"/>
        <v>94.17</v>
      </c>
      <c r="E33" s="57">
        <f t="shared" si="2"/>
        <v>95.67</v>
      </c>
      <c r="F33" s="57">
        <f t="shared" si="2"/>
        <v>97.01</v>
      </c>
      <c r="G33" s="57">
        <f t="shared" si="2"/>
        <v>99.95</v>
      </c>
      <c r="H33" s="57">
        <f t="shared" si="2"/>
        <v>100.55</v>
      </c>
      <c r="I33" s="57">
        <f t="shared" si="2"/>
        <v>99.84</v>
      </c>
      <c r="J33" s="57">
        <f t="shared" si="2"/>
        <v>98.71</v>
      </c>
      <c r="K33" s="57">
        <f t="shared" si="2"/>
        <v>98.86</v>
      </c>
      <c r="L33" s="57">
        <f t="shared" si="2"/>
        <v>98</v>
      </c>
      <c r="M33" s="57">
        <f>IF(M$31="Summer",M5,M8)</f>
        <v>97.51</v>
      </c>
      <c r="N33" s="441">
        <f>AVERAGE(B33:M33)</f>
        <v>97.25833333333334</v>
      </c>
      <c r="O33" s="441">
        <f>N33</f>
        <v>97.25833333333334</v>
      </c>
      <c r="P33" s="28" t="s">
        <v>848</v>
      </c>
      <c r="Q33" s="57">
        <v>64</v>
      </c>
      <c r="R33" s="57">
        <v>56.5</v>
      </c>
      <c r="S33" s="57">
        <v>57.7</v>
      </c>
      <c r="T33" s="57">
        <v>58.6</v>
      </c>
      <c r="U33" s="57">
        <v>61</v>
      </c>
      <c r="V33" s="57">
        <v>64.400000000000006</v>
      </c>
      <c r="W33" s="57">
        <v>67.599999999999994</v>
      </c>
      <c r="X33" s="57">
        <v>72</v>
      </c>
      <c r="Y33" s="57">
        <v>73</v>
      </c>
      <c r="Z33" s="57">
        <v>71.599999999999994</v>
      </c>
      <c r="AA33" s="57">
        <v>67.099999999999994</v>
      </c>
      <c r="AB33" s="57">
        <v>61.9</v>
      </c>
      <c r="AC33" s="57">
        <v>57.2</v>
      </c>
      <c r="AD33" s="57" t="s">
        <v>853</v>
      </c>
    </row>
    <row r="34" spans="1:30" x14ac:dyDescent="0.15">
      <c r="A34" s="86" t="s">
        <v>49</v>
      </c>
      <c r="B34" s="57">
        <f t="shared" ref="B34:L34" si="3">IF(B$31="Summer",B6,B9)</f>
        <v>3.7570000000000001</v>
      </c>
      <c r="C34" s="57">
        <f t="shared" si="3"/>
        <v>3.3330000000000002</v>
      </c>
      <c r="D34" s="57">
        <f t="shared" si="3"/>
        <v>3.379</v>
      </c>
      <c r="E34" s="57">
        <f t="shared" si="3"/>
        <v>3.468</v>
      </c>
      <c r="F34" s="57">
        <f t="shared" si="3"/>
        <v>3.601</v>
      </c>
      <c r="G34" s="57">
        <f t="shared" si="3"/>
        <v>3.8890000000000002</v>
      </c>
      <c r="H34" s="57">
        <f t="shared" si="3"/>
        <v>3.8330000000000002</v>
      </c>
      <c r="I34" s="57">
        <f t="shared" si="3"/>
        <v>4.2460000000000004</v>
      </c>
      <c r="J34" s="57">
        <f t="shared" si="3"/>
        <v>4.2320000000000002</v>
      </c>
      <c r="K34" s="57">
        <f t="shared" si="3"/>
        <v>4.2249999999999996</v>
      </c>
      <c r="L34" s="57">
        <f t="shared" si="3"/>
        <v>4.1529999999999996</v>
      </c>
      <c r="M34" s="57">
        <f>IF(M$31="Summer",M6,M9)</f>
        <v>4.1150000000000002</v>
      </c>
      <c r="N34" s="441">
        <f>AVERAGE(B34:M34)</f>
        <v>3.8525833333333335</v>
      </c>
      <c r="O34" s="441">
        <f>IFERROR(SUMPRODUCT($B$1:$M$1,B34:M34)/CustUsage_kWhPerYear,N34)</f>
        <v>3.8525833333333335</v>
      </c>
      <c r="P34" s="28" t="s">
        <v>849</v>
      </c>
      <c r="Q34" s="57">
        <v>75.2</v>
      </c>
      <c r="R34" s="57">
        <v>63</v>
      </c>
      <c r="S34" s="57">
        <v>64</v>
      </c>
      <c r="T34" s="57">
        <v>66.7</v>
      </c>
      <c r="U34" s="57">
        <v>71.099999999999994</v>
      </c>
      <c r="V34" s="57">
        <v>76.3</v>
      </c>
      <c r="W34" s="57">
        <v>82.8</v>
      </c>
      <c r="X34" s="57">
        <v>87.3</v>
      </c>
      <c r="Y34" s="57">
        <v>87.8</v>
      </c>
      <c r="Z34" s="57">
        <v>86.2</v>
      </c>
      <c r="AA34" s="57">
        <v>80.400000000000006</v>
      </c>
      <c r="AB34" s="57">
        <v>71.599999999999994</v>
      </c>
      <c r="AC34" s="57">
        <v>64.900000000000006</v>
      </c>
      <c r="AD34" s="57" t="s">
        <v>855</v>
      </c>
    </row>
    <row r="35" spans="1:30" x14ac:dyDescent="0.15">
      <c r="A35" s="206" t="s">
        <v>841</v>
      </c>
      <c r="B35" s="57"/>
      <c r="C35" s="57"/>
      <c r="D35" s="57"/>
      <c r="M35" s="57"/>
      <c r="P35" s="28" t="s">
        <v>850</v>
      </c>
      <c r="Q35" s="57">
        <v>73</v>
      </c>
      <c r="R35" s="57">
        <v>66</v>
      </c>
      <c r="S35" s="57">
        <v>66</v>
      </c>
      <c r="T35" s="57">
        <v>68</v>
      </c>
      <c r="U35" s="57">
        <v>71</v>
      </c>
      <c r="V35" s="57">
        <v>73</v>
      </c>
      <c r="W35" s="57">
        <v>77</v>
      </c>
      <c r="X35" s="57">
        <v>82</v>
      </c>
      <c r="Y35" s="57">
        <v>82</v>
      </c>
      <c r="Z35" s="57">
        <v>82</v>
      </c>
      <c r="AA35" s="57">
        <v>78</v>
      </c>
      <c r="AB35" s="57">
        <v>73</v>
      </c>
      <c r="AC35" s="57">
        <v>69</v>
      </c>
      <c r="AD35" s="57" t="s">
        <v>854</v>
      </c>
    </row>
    <row r="36" spans="1:30" x14ac:dyDescent="0.15">
      <c r="A36" s="86" t="s">
        <v>48</v>
      </c>
      <c r="B36" s="57">
        <f t="shared" ref="B36:L36" si="4">IF(B$31="Summer",B11,B14)</f>
        <v>92.86</v>
      </c>
      <c r="C36" s="57">
        <f t="shared" si="4"/>
        <v>93.97</v>
      </c>
      <c r="D36" s="57">
        <f t="shared" si="4"/>
        <v>94.17</v>
      </c>
      <c r="E36" s="57">
        <f t="shared" si="4"/>
        <v>95.67</v>
      </c>
      <c r="F36" s="57">
        <f t="shared" si="4"/>
        <v>97.01</v>
      </c>
      <c r="G36" s="57">
        <f t="shared" si="4"/>
        <v>99.95</v>
      </c>
      <c r="H36" s="57">
        <f t="shared" si="4"/>
        <v>100.55</v>
      </c>
      <c r="I36" s="57">
        <f t="shared" si="4"/>
        <v>99.84</v>
      </c>
      <c r="J36" s="57">
        <f t="shared" si="4"/>
        <v>98.71</v>
      </c>
      <c r="K36" s="57">
        <f t="shared" si="4"/>
        <v>98.86</v>
      </c>
      <c r="L36" s="57">
        <f t="shared" si="4"/>
        <v>98</v>
      </c>
      <c r="M36" s="57">
        <f>IF(M$31="Summer",M11,M14)</f>
        <v>97.51</v>
      </c>
      <c r="N36" s="441">
        <f>AVERAGE(B36:M36)</f>
        <v>97.25833333333334</v>
      </c>
      <c r="O36" s="441">
        <f>N36</f>
        <v>97.25833333333334</v>
      </c>
      <c r="P36" s="28" t="s">
        <v>852</v>
      </c>
      <c r="Q36" s="57">
        <v>72.3</v>
      </c>
      <c r="R36" s="57">
        <v>63.3</v>
      </c>
      <c r="S36" s="57">
        <v>64.400000000000006</v>
      </c>
      <c r="T36" s="57">
        <v>65.8</v>
      </c>
      <c r="U36" s="57">
        <v>68.5</v>
      </c>
      <c r="V36" s="57">
        <v>71.2</v>
      </c>
      <c r="W36" s="57">
        <v>76.5</v>
      </c>
      <c r="X36" s="57">
        <v>82</v>
      </c>
      <c r="Y36" s="57">
        <v>83.1</v>
      </c>
      <c r="Z36" s="57">
        <v>81.900000000000006</v>
      </c>
      <c r="AA36" s="57">
        <v>76.599999999999994</v>
      </c>
      <c r="AB36" s="57">
        <v>69.599999999999994</v>
      </c>
      <c r="AC36" s="57">
        <v>64.900000000000006</v>
      </c>
      <c r="AD36" s="57" t="s">
        <v>856</v>
      </c>
    </row>
    <row r="37" spans="1:30" x14ac:dyDescent="0.15">
      <c r="A37" s="86" t="s">
        <v>49</v>
      </c>
      <c r="B37" s="57">
        <f t="shared" ref="B37:L37" si="5">IF(B$31="Summer",B12,B15)</f>
        <v>4.0940000000000003</v>
      </c>
      <c r="C37" s="57">
        <f t="shared" si="5"/>
        <v>3.3330000000000002</v>
      </c>
      <c r="D37" s="57">
        <f t="shared" si="5"/>
        <v>3.379</v>
      </c>
      <c r="E37" s="57">
        <f t="shared" si="5"/>
        <v>3.468</v>
      </c>
      <c r="F37" s="57">
        <f t="shared" si="5"/>
        <v>3.601</v>
      </c>
      <c r="G37" s="57">
        <f t="shared" si="5"/>
        <v>3.8890000000000002</v>
      </c>
      <c r="H37" s="57">
        <f t="shared" si="5"/>
        <v>3.8330000000000002</v>
      </c>
      <c r="I37" s="57">
        <f t="shared" si="5"/>
        <v>4.6280000000000001</v>
      </c>
      <c r="J37" s="57">
        <f t="shared" si="5"/>
        <v>4.6120000000000001</v>
      </c>
      <c r="K37" s="57">
        <f t="shared" si="5"/>
        <v>4.6050000000000004</v>
      </c>
      <c r="L37" s="57">
        <f t="shared" si="5"/>
        <v>4.5259999999999998</v>
      </c>
      <c r="M37" s="57">
        <f>IF(M$31="Summer",M12,M15)</f>
        <v>4.4850000000000003</v>
      </c>
      <c r="N37" s="441">
        <f>AVERAGE(B37:M37)</f>
        <v>4.03775</v>
      </c>
      <c r="O37" s="441">
        <f>IFERROR(SUMPRODUCT($B$1:$M$1,B37:M37)/CustUsage_kWhPerYear,N37)</f>
        <v>4.03775</v>
      </c>
      <c r="P37" s="28" t="s">
        <v>857</v>
      </c>
      <c r="Q37" s="57">
        <v>67.8</v>
      </c>
      <c r="R37" s="57">
        <v>59</v>
      </c>
      <c r="S37" s="57">
        <v>60.4</v>
      </c>
      <c r="T37" s="57">
        <v>61.3</v>
      </c>
      <c r="U37" s="57">
        <v>63.7</v>
      </c>
      <c r="V37" s="57">
        <v>66.400000000000006</v>
      </c>
      <c r="W37" s="57">
        <v>71.8</v>
      </c>
      <c r="X37" s="57">
        <v>78.099999999999994</v>
      </c>
      <c r="Y37" s="57">
        <v>79.3</v>
      </c>
      <c r="Z37" s="57">
        <v>77.7</v>
      </c>
      <c r="AA37" s="57">
        <v>70.5</v>
      </c>
      <c r="AB37" s="57">
        <v>65.5</v>
      </c>
      <c r="AC37" s="57">
        <v>60.4</v>
      </c>
      <c r="AD37" s="57" t="s">
        <v>856</v>
      </c>
    </row>
    <row r="39" spans="1:30" x14ac:dyDescent="0.15">
      <c r="P39" s="28" t="s">
        <v>860</v>
      </c>
    </row>
    <row r="40" spans="1:30" x14ac:dyDescent="0.15">
      <c r="R40" s="57">
        <f>_xlfn.RANK.AVG(R32,$R32:$AC32)</f>
        <v>12</v>
      </c>
      <c r="S40" s="57">
        <f t="shared" ref="S40:AC40" si="6">_xlfn.RANK.AVG(S32,$R32:$AC32)</f>
        <v>11</v>
      </c>
      <c r="T40" s="57">
        <f t="shared" si="6"/>
        <v>9</v>
      </c>
      <c r="U40" s="57">
        <f t="shared" si="6"/>
        <v>7</v>
      </c>
      <c r="V40" s="57">
        <f t="shared" si="6"/>
        <v>6</v>
      </c>
      <c r="W40" s="57">
        <f t="shared" si="6"/>
        <v>4</v>
      </c>
      <c r="X40" s="57">
        <f t="shared" si="6"/>
        <v>2</v>
      </c>
      <c r="Y40" s="57">
        <f t="shared" si="6"/>
        <v>1</v>
      </c>
      <c r="Z40" s="57">
        <f t="shared" si="6"/>
        <v>3</v>
      </c>
      <c r="AA40" s="57">
        <f t="shared" si="6"/>
        <v>5</v>
      </c>
      <c r="AB40" s="57">
        <f t="shared" si="6"/>
        <v>8</v>
      </c>
      <c r="AC40" s="57">
        <f t="shared" si="6"/>
        <v>10</v>
      </c>
    </row>
    <row r="41" spans="1:30" x14ac:dyDescent="0.15">
      <c r="R41" s="57">
        <f t="shared" ref="R41:AC41" si="7">_xlfn.RANK.AVG(R33,$R33:$AC33)</f>
        <v>12</v>
      </c>
      <c r="S41" s="57">
        <f t="shared" si="7"/>
        <v>10</v>
      </c>
      <c r="T41" s="57">
        <f t="shared" si="7"/>
        <v>9</v>
      </c>
      <c r="U41" s="57">
        <f t="shared" si="7"/>
        <v>8</v>
      </c>
      <c r="V41" s="57">
        <f t="shared" si="7"/>
        <v>6</v>
      </c>
      <c r="W41" s="57">
        <f t="shared" si="7"/>
        <v>4</v>
      </c>
      <c r="X41" s="57">
        <f t="shared" si="7"/>
        <v>2</v>
      </c>
      <c r="Y41" s="57">
        <f t="shared" si="7"/>
        <v>1</v>
      </c>
      <c r="Z41" s="57">
        <f t="shared" si="7"/>
        <v>3</v>
      </c>
      <c r="AA41" s="57">
        <f t="shared" si="7"/>
        <v>5</v>
      </c>
      <c r="AB41" s="57">
        <f t="shared" si="7"/>
        <v>7</v>
      </c>
      <c r="AC41" s="57">
        <f t="shared" si="7"/>
        <v>11</v>
      </c>
    </row>
    <row r="42" spans="1:30" x14ac:dyDescent="0.15">
      <c r="R42" s="57">
        <f t="shared" ref="R42:AC42" si="8">_xlfn.RANK.AVG(R34,$R34:$AC34)</f>
        <v>12</v>
      </c>
      <c r="S42" s="57">
        <f t="shared" si="8"/>
        <v>11</v>
      </c>
      <c r="T42" s="57">
        <f t="shared" si="8"/>
        <v>9</v>
      </c>
      <c r="U42" s="57">
        <f t="shared" si="8"/>
        <v>8</v>
      </c>
      <c r="V42" s="57">
        <f t="shared" si="8"/>
        <v>6</v>
      </c>
      <c r="W42" s="57">
        <f t="shared" si="8"/>
        <v>4</v>
      </c>
      <c r="X42" s="57">
        <f t="shared" si="8"/>
        <v>2</v>
      </c>
      <c r="Y42" s="57">
        <f t="shared" si="8"/>
        <v>1</v>
      </c>
      <c r="Z42" s="57">
        <f t="shared" si="8"/>
        <v>3</v>
      </c>
      <c r="AA42" s="57">
        <f t="shared" si="8"/>
        <v>5</v>
      </c>
      <c r="AB42" s="57">
        <f t="shared" si="8"/>
        <v>7</v>
      </c>
      <c r="AC42" s="57">
        <f t="shared" si="8"/>
        <v>10</v>
      </c>
    </row>
    <row r="43" spans="1:30" x14ac:dyDescent="0.15">
      <c r="R43" s="57">
        <f t="shared" ref="R43:AC43" si="9">_xlfn.RANK.AVG(R35,$R35:$AC35)</f>
        <v>11.5</v>
      </c>
      <c r="S43" s="57">
        <f t="shared" si="9"/>
        <v>11.5</v>
      </c>
      <c r="T43" s="57">
        <f t="shared" si="9"/>
        <v>10</v>
      </c>
      <c r="U43" s="57">
        <f t="shared" si="9"/>
        <v>8</v>
      </c>
      <c r="V43" s="57">
        <f t="shared" si="9"/>
        <v>6.5</v>
      </c>
      <c r="W43" s="57">
        <f t="shared" si="9"/>
        <v>5</v>
      </c>
      <c r="X43" s="57">
        <f t="shared" si="9"/>
        <v>2</v>
      </c>
      <c r="Y43" s="57">
        <f t="shared" si="9"/>
        <v>2</v>
      </c>
      <c r="Z43" s="57">
        <f t="shared" si="9"/>
        <v>2</v>
      </c>
      <c r="AA43" s="57">
        <f t="shared" si="9"/>
        <v>4</v>
      </c>
      <c r="AB43" s="57">
        <f t="shared" si="9"/>
        <v>6.5</v>
      </c>
      <c r="AC43" s="57">
        <f t="shared" si="9"/>
        <v>9</v>
      </c>
    </row>
    <row r="44" spans="1:30" x14ac:dyDescent="0.15">
      <c r="R44" s="57">
        <f t="shared" ref="R44:AC45" si="10">_xlfn.RANK.AVG(R36,$R36:$AC36)</f>
        <v>12</v>
      </c>
      <c r="S44" s="57">
        <f t="shared" si="10"/>
        <v>11</v>
      </c>
      <c r="T44" s="57">
        <f t="shared" si="10"/>
        <v>9</v>
      </c>
      <c r="U44" s="57">
        <f t="shared" si="10"/>
        <v>8</v>
      </c>
      <c r="V44" s="57">
        <f t="shared" si="10"/>
        <v>6</v>
      </c>
      <c r="W44" s="57">
        <f t="shared" si="10"/>
        <v>5</v>
      </c>
      <c r="X44" s="57">
        <f t="shared" si="10"/>
        <v>2</v>
      </c>
      <c r="Y44" s="57">
        <f t="shared" si="10"/>
        <v>1</v>
      </c>
      <c r="Z44" s="57">
        <f t="shared" si="10"/>
        <v>3</v>
      </c>
      <c r="AA44" s="57">
        <f t="shared" si="10"/>
        <v>4</v>
      </c>
      <c r="AB44" s="57">
        <f t="shared" si="10"/>
        <v>7</v>
      </c>
      <c r="AC44" s="57">
        <f t="shared" si="10"/>
        <v>10</v>
      </c>
    </row>
    <row r="45" spans="1:30" x14ac:dyDescent="0.15">
      <c r="R45" s="57">
        <f t="shared" si="10"/>
        <v>12</v>
      </c>
      <c r="S45" s="57">
        <f t="shared" si="10"/>
        <v>10.5</v>
      </c>
      <c r="T45" s="57">
        <f t="shared" si="10"/>
        <v>9</v>
      </c>
      <c r="U45" s="57">
        <f t="shared" si="10"/>
        <v>8</v>
      </c>
      <c r="V45" s="57">
        <f t="shared" si="10"/>
        <v>6</v>
      </c>
      <c r="W45" s="57">
        <f t="shared" si="10"/>
        <v>4</v>
      </c>
      <c r="X45" s="57">
        <f t="shared" si="10"/>
        <v>2</v>
      </c>
      <c r="Y45" s="57">
        <f t="shared" si="10"/>
        <v>1</v>
      </c>
      <c r="Z45" s="57">
        <f t="shared" si="10"/>
        <v>3</v>
      </c>
      <c r="AA45" s="57">
        <f t="shared" si="10"/>
        <v>5</v>
      </c>
      <c r="AB45" s="57">
        <f t="shared" si="10"/>
        <v>7</v>
      </c>
      <c r="AC45" s="57">
        <f t="shared" si="10"/>
        <v>10.5</v>
      </c>
    </row>
  </sheetData>
  <sheetProtection selectLockedCells="1" selectUnlockedCells="1"/>
  <conditionalFormatting sqref="R40:AC45">
    <cfRule type="expression" dxfId="0" priority="1">
      <formula>IF(R40&lt;7,TRUE,FALSE)</formula>
    </cfRule>
  </conditionalFormatting>
  <hyperlinks>
    <hyperlink ref="A2" r:id="rId1"/>
  </hyperlinks>
  <pageMargins left="0.78749999999999998" right="0.78749999999999998" top="1.0527777777777778" bottom="1.0527777777777778" header="0.78749999999999998" footer="0.78749999999999998"/>
  <pageSetup firstPageNumber="0" orientation="portrait" horizontalDpi="300" verticalDpi="300" r:id="rId2"/>
  <headerFooter>
    <oddHeader>&amp;C&amp;"Times New Roman,Regular"&amp;12&amp;A</oddHeader>
    <oddFooter>&amp;C&amp;"Times New Roman,Regular"&amp;12Page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9"/>
  <sheetViews>
    <sheetView zoomScaleNormal="100" zoomScalePageLayoutView="130" workbookViewId="0">
      <pane xSplit="2" ySplit="3" topLeftCell="C4" activePane="bottomRight" state="frozen"/>
      <selection sqref="A1:H8"/>
      <selection pane="topRight" sqref="A1:H8"/>
      <selection pane="bottomLeft" sqref="A1:H8"/>
      <selection pane="bottomRight" activeCell="C4" sqref="C4"/>
    </sheetView>
  </sheetViews>
  <sheetFormatPr defaultColWidth="11.42578125" defaultRowHeight="10.5" x14ac:dyDescent="0.15"/>
  <cols>
    <col min="1" max="1" width="3" style="57" bestFit="1" customWidth="1"/>
    <col min="2" max="2" width="27" style="86" bestFit="1" customWidth="1"/>
    <col min="3" max="5" width="7.85546875" style="86" bestFit="1" customWidth="1"/>
    <col min="6" max="13" width="7.85546875" style="57" bestFit="1" customWidth="1"/>
    <col min="14" max="14" width="7.85546875" style="86" bestFit="1" customWidth="1"/>
    <col min="15" max="16384" width="11.42578125" style="57"/>
  </cols>
  <sheetData>
    <row r="1" spans="1:16" x14ac:dyDescent="0.15">
      <c r="B1" s="504" t="s">
        <v>995</v>
      </c>
      <c r="C1" s="436">
        <f>IF(VLOOKUP(C2,Inputs!$A$36:$B$47,2,FALSE)="",CustUsage_kWhPerYear/12,VLOOKUP(C2,Inputs!$A$36:$B$47,2,FALSE))</f>
        <v>500</v>
      </c>
      <c r="D1" s="436">
        <f>IF(VLOOKUP(D2,Inputs!$A$36:$B$47,2,FALSE)="",CustUsage_kWhPerYear/12,VLOOKUP(D2,Inputs!$A$36:$B$47,2,FALSE))</f>
        <v>500</v>
      </c>
      <c r="E1" s="436">
        <f>IF(VLOOKUP(E2,Inputs!$A$36:$B$47,2,FALSE)="",CustUsage_kWhPerYear/12,VLOOKUP(E2,Inputs!$A$36:$B$47,2,FALSE))</f>
        <v>500</v>
      </c>
      <c r="F1" s="436">
        <f>IF(VLOOKUP(F2,Inputs!$A$36:$B$47,2,FALSE)="",CustUsage_kWhPerYear/12,VLOOKUP(F2,Inputs!$A$36:$B$47,2,FALSE))</f>
        <v>500</v>
      </c>
      <c r="G1" s="436">
        <f>IF(VLOOKUP(G2,Inputs!$A$36:$B$47,2,FALSE)="",CustUsage_kWhPerYear/12,VLOOKUP(G2,Inputs!$A$36:$B$47,2,FALSE))</f>
        <v>500</v>
      </c>
      <c r="H1" s="436">
        <f>IF(VLOOKUP(H2,Inputs!$A$36:$B$47,2,FALSE)="",CustUsage_kWhPerYear/12,VLOOKUP(H2,Inputs!$A$36:$B$47,2,FALSE))</f>
        <v>500</v>
      </c>
      <c r="I1" s="436">
        <f>IF(VLOOKUP(I2,Inputs!$A$36:$B$47,2,FALSE)="",CustUsage_kWhPerYear/12,VLOOKUP(I2,Inputs!$A$36:$B$47,2,FALSE))</f>
        <v>500</v>
      </c>
      <c r="J1" s="436">
        <f>IF(VLOOKUP(J2,Inputs!$A$36:$B$47,2,FALSE)="",CustUsage_kWhPerYear/12,VLOOKUP(J2,Inputs!$A$36:$B$47,2,FALSE))</f>
        <v>500</v>
      </c>
      <c r="K1" s="436">
        <f>IF(VLOOKUP(K2,Inputs!$A$36:$B$47,2,FALSE)="",CustUsage_kWhPerYear/12,VLOOKUP(K2,Inputs!$A$36:$B$47,2,FALSE))</f>
        <v>500</v>
      </c>
      <c r="L1" s="436">
        <f>IF(VLOOKUP(L2,Inputs!$A$36:$B$47,2,FALSE)="",CustUsage_kWhPerYear/12,VLOOKUP(L2,Inputs!$A$36:$B$47,2,FALSE))</f>
        <v>500</v>
      </c>
      <c r="M1" s="436">
        <f>IF(VLOOKUP(M2,Inputs!$A$36:$B$47,2,FALSE)="",CustUsage_kWhPerYear/12,VLOOKUP(M2,Inputs!$A$36:$B$47,2,FALSE))</f>
        <v>500</v>
      </c>
      <c r="N1" s="436">
        <f>IF(VLOOKUP(N2,Inputs!$A$36:$B$47,2,FALSE)="",CustUsage_kWhPerYear/12,VLOOKUP(N2,Inputs!$A$36:$B$47,2,FALSE))</f>
        <v>500</v>
      </c>
    </row>
    <row r="2" spans="1:16" x14ac:dyDescent="0.15">
      <c r="B2" s="85" t="s">
        <v>192</v>
      </c>
      <c r="C2" s="439" t="str">
        <f>VLOOKUP(INT(RIGHT(C3,2)),ListData!$B$173:$C$184,2,FALSE)</f>
        <v>OCT</v>
      </c>
      <c r="D2" s="439" t="str">
        <f>VLOOKUP(INT(RIGHT(D3,2)),ListData!$B$173:$C$184,2,FALSE)</f>
        <v>NOV</v>
      </c>
      <c r="E2" s="439" t="str">
        <f>VLOOKUP(INT(RIGHT(E3,2)),ListData!$B$173:$C$184,2,FALSE)</f>
        <v>DIC</v>
      </c>
      <c r="F2" s="439" t="str">
        <f>VLOOKUP(INT(RIGHT(F3,2)),ListData!$B$173:$C$184,2,FALSE)</f>
        <v>ENE</v>
      </c>
      <c r="G2" s="439" t="str">
        <f>VLOOKUP(INT(RIGHT(G3,2)),ListData!$B$173:$C$184,2,FALSE)</f>
        <v>FEB</v>
      </c>
      <c r="H2" s="439" t="str">
        <f>VLOOKUP(INT(RIGHT(H3,2)),ListData!$B$173:$C$184,2,FALSE)</f>
        <v>MAR</v>
      </c>
      <c r="I2" s="439" t="str">
        <f>VLOOKUP(INT(RIGHT(I3,2)),ListData!$B$173:$C$184,2,FALSE)</f>
        <v>ABR</v>
      </c>
      <c r="J2" s="439" t="str">
        <f>VLOOKUP(INT(RIGHT(J3,2)),ListData!$B$173:$C$184,2,FALSE)</f>
        <v>MAY</v>
      </c>
      <c r="K2" s="439" t="str">
        <f>VLOOKUP(INT(RIGHT(K3,2)),ListData!$B$173:$C$184,2,FALSE)</f>
        <v>JUN</v>
      </c>
      <c r="L2" s="439" t="str">
        <f>VLOOKUP(INT(RIGHT(L3,2)),ListData!$B$173:$C$184,2,FALSE)</f>
        <v>JUL</v>
      </c>
      <c r="M2" s="439" t="str">
        <f>VLOOKUP(INT(RIGHT(M3,2)),ListData!$B$173:$C$184,2,FALSE)</f>
        <v>AGO</v>
      </c>
      <c r="N2" s="439" t="str">
        <f>VLOOKUP(INT(RIGHT(N3,2)),ListData!$B$173:$C$184,2,FALSE)</f>
        <v>SEP</v>
      </c>
    </row>
    <row r="3" spans="1:16" ht="31.5" x14ac:dyDescent="0.15">
      <c r="B3" s="87" t="s">
        <v>57</v>
      </c>
      <c r="C3" s="88">
        <v>201610</v>
      </c>
      <c r="D3" s="88">
        <v>201611</v>
      </c>
      <c r="E3" s="88">
        <v>201612</v>
      </c>
      <c r="F3" s="88">
        <v>201701</v>
      </c>
      <c r="G3" s="88">
        <v>201702</v>
      </c>
      <c r="H3" s="88">
        <v>201703</v>
      </c>
      <c r="I3" s="88">
        <v>201704</v>
      </c>
      <c r="J3" s="88">
        <v>201705</v>
      </c>
      <c r="K3" s="88">
        <v>201706</v>
      </c>
      <c r="L3" s="88">
        <v>201707</v>
      </c>
      <c r="M3" s="88">
        <v>201708</v>
      </c>
      <c r="N3" s="88">
        <v>201709</v>
      </c>
      <c r="O3" s="88" t="s">
        <v>965</v>
      </c>
      <c r="P3" s="88" t="s">
        <v>986</v>
      </c>
    </row>
    <row r="4" spans="1:16" s="36" customFormat="1" x14ac:dyDescent="0.15">
      <c r="B4" s="89" t="s">
        <v>58</v>
      </c>
      <c r="C4" s="90" t="str">
        <f t="shared" ref="C4:M4" si="0">C2</f>
        <v>OCT</v>
      </c>
      <c r="D4" s="90" t="str">
        <f t="shared" si="0"/>
        <v>NOV</v>
      </c>
      <c r="E4" s="88" t="str">
        <f t="shared" si="0"/>
        <v>DIC</v>
      </c>
      <c r="F4" s="90" t="str">
        <f t="shared" si="0"/>
        <v>ENE</v>
      </c>
      <c r="G4" s="90" t="str">
        <f t="shared" si="0"/>
        <v>FEB</v>
      </c>
      <c r="H4" s="90" t="str">
        <f t="shared" si="0"/>
        <v>MAR</v>
      </c>
      <c r="I4" s="88" t="str">
        <f t="shared" si="0"/>
        <v>ABR</v>
      </c>
      <c r="J4" s="88" t="str">
        <f t="shared" si="0"/>
        <v>MAY</v>
      </c>
      <c r="K4" s="88" t="str">
        <f t="shared" si="0"/>
        <v>JUN</v>
      </c>
      <c r="L4" s="88" t="str">
        <f t="shared" si="0"/>
        <v>JUL</v>
      </c>
      <c r="M4" s="88" t="str">
        <f t="shared" si="0"/>
        <v>AGO</v>
      </c>
      <c r="N4" s="90" t="str">
        <f>N2</f>
        <v>SEP</v>
      </c>
      <c r="O4" s="57"/>
      <c r="P4" s="441"/>
    </row>
    <row r="5" spans="1:16" x14ac:dyDescent="0.15">
      <c r="A5" s="57">
        <v>50</v>
      </c>
      <c r="B5" s="91" t="s">
        <v>59</v>
      </c>
      <c r="C5" s="57">
        <v>2.31</v>
      </c>
      <c r="D5" s="92">
        <v>2.3860000000000001</v>
      </c>
      <c r="E5" s="92">
        <v>2.419</v>
      </c>
      <c r="F5" s="92">
        <v>2.4820000000000002</v>
      </c>
      <c r="G5" s="57">
        <v>2.577</v>
      </c>
      <c r="H5" s="92">
        <v>2.7829999999999999</v>
      </c>
      <c r="I5" s="92">
        <v>2.7429999999999999</v>
      </c>
      <c r="J5" s="92">
        <v>2.61</v>
      </c>
      <c r="K5" s="92">
        <v>2.601</v>
      </c>
      <c r="L5" s="92">
        <v>2.597</v>
      </c>
      <c r="M5" s="92">
        <v>2.5529999999999999</v>
      </c>
      <c r="N5" s="92">
        <v>2.5299999999999998</v>
      </c>
      <c r="O5" s="441">
        <f>AVERAGE(C5:N5)</f>
        <v>2.5492500000000002</v>
      </c>
      <c r="P5" s="441">
        <f>IFERROR(SUMPRODUCT($C$1:$N$1,C5:N5)/CustUsage_kWhPerYear,O5)</f>
        <v>2.5492499999999998</v>
      </c>
    </row>
    <row r="6" spans="1:16" x14ac:dyDescent="0.15">
      <c r="A6" s="57">
        <v>50</v>
      </c>
      <c r="B6" s="92" t="s">
        <v>60</v>
      </c>
      <c r="C6" s="57">
        <v>2.7850000000000001</v>
      </c>
      <c r="D6" s="92">
        <v>2.8769999999999998</v>
      </c>
      <c r="E6" s="92">
        <v>2.9169999999999998</v>
      </c>
      <c r="F6" s="92">
        <v>2.9929999999999999</v>
      </c>
      <c r="G6" s="57">
        <v>3.1080000000000001</v>
      </c>
      <c r="H6" s="92">
        <v>3.3559999999999999</v>
      </c>
      <c r="I6" s="92">
        <v>3.3069999999999999</v>
      </c>
      <c r="J6" s="92">
        <v>3.1469999999999998</v>
      </c>
      <c r="K6" s="92">
        <v>3.1360000000000001</v>
      </c>
      <c r="L6" s="92">
        <v>3.1309999999999998</v>
      </c>
      <c r="M6" s="92">
        <v>3.077</v>
      </c>
      <c r="N6" s="92">
        <v>3.0489999999999999</v>
      </c>
      <c r="O6" s="441">
        <f>AVERAGE(C6:N6)</f>
        <v>3.0735833333333331</v>
      </c>
      <c r="P6" s="441">
        <f>IFERROR(SUMPRODUCT($C$1:$N$1,C6:N6)/CustUsage_kWhPerYear,O6)</f>
        <v>3.0735833333333331</v>
      </c>
    </row>
    <row r="7" spans="1:16" ht="12.75" customHeight="1" x14ac:dyDescent="0.15">
      <c r="B7" s="92" t="s">
        <v>61</v>
      </c>
      <c r="C7" s="57">
        <v>3.069</v>
      </c>
      <c r="D7" s="92">
        <v>3.1709999999999998</v>
      </c>
      <c r="E7" s="92">
        <v>3.2149999999999999</v>
      </c>
      <c r="F7" s="92">
        <v>3.2989999999999999</v>
      </c>
      <c r="G7" s="57">
        <v>3.4249999999999998</v>
      </c>
      <c r="H7" s="92">
        <v>3.6989999999999998</v>
      </c>
      <c r="I7" s="92">
        <v>3.645</v>
      </c>
      <c r="J7" s="92">
        <v>3.4689999999999999</v>
      </c>
      <c r="K7" s="92">
        <v>3.4569999999999999</v>
      </c>
      <c r="L7" s="92">
        <v>3.4510000000000001</v>
      </c>
      <c r="M7" s="92">
        <v>3.3919999999999999</v>
      </c>
      <c r="N7" s="92">
        <v>3.3610000000000002</v>
      </c>
      <c r="O7" s="441">
        <f>AVERAGE(C7:N7)</f>
        <v>3.38775</v>
      </c>
      <c r="P7" s="441">
        <f>IFERROR(SUMPRODUCT($C$1:$N$1,C7:N7)/CustUsage_kWhPerYear,O7)</f>
        <v>3.38775</v>
      </c>
    </row>
    <row r="8" spans="1:16" ht="12.75" customHeight="1" x14ac:dyDescent="0.15">
      <c r="B8" s="87" t="s">
        <v>62</v>
      </c>
      <c r="C8" s="57"/>
      <c r="D8" s="57"/>
      <c r="E8" s="87"/>
      <c r="N8" s="57"/>
    </row>
    <row r="9" spans="1:16" x14ac:dyDescent="0.15">
      <c r="B9" s="92" t="s">
        <v>63</v>
      </c>
      <c r="C9" s="57">
        <v>61.33</v>
      </c>
      <c r="D9" s="92">
        <v>62.06</v>
      </c>
      <c r="E9" s="92">
        <v>62.19</v>
      </c>
      <c r="F9" s="92">
        <v>63.18</v>
      </c>
      <c r="G9" s="57">
        <v>64.06</v>
      </c>
      <c r="H9" s="92">
        <v>66</v>
      </c>
      <c r="I9" s="92">
        <v>66.400000000000006</v>
      </c>
      <c r="J9" s="92">
        <v>65.930000000000007</v>
      </c>
      <c r="K9" s="92">
        <v>65.180000000000007</v>
      </c>
      <c r="L9" s="92">
        <v>65.28</v>
      </c>
      <c r="M9" s="92">
        <v>64.709999999999994</v>
      </c>
      <c r="N9" s="92">
        <v>64.39</v>
      </c>
      <c r="O9" s="441">
        <f>AVERAGE(C9:N9)</f>
        <v>64.225833333333341</v>
      </c>
      <c r="P9" s="441">
        <f>O9</f>
        <v>64.225833333333341</v>
      </c>
    </row>
  </sheetData>
  <sheetProtection selectLockedCells="1" selectUnlockedCells="1"/>
  <hyperlinks>
    <hyperlink ref="B2" r:id="rId1"/>
  </hyperlinks>
  <pageMargins left="0.78749999999999998" right="0.78749999999999998" top="1.0527777777777778" bottom="1.0527777777777778" header="0.78749999999999998" footer="0.78749999999999998"/>
  <pageSetup firstPageNumber="0" orientation="portrait" horizontalDpi="300" verticalDpi="300" r:id="rId2"/>
  <headerFooter>
    <oddHeader>&amp;C&amp;"Times New Roman,Regular"&amp;12&amp;A</oddHeader>
    <oddFooter>&amp;C&amp;"Times New Roman,Regular"&amp;12Page &amp;P</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98"/>
  <sheetViews>
    <sheetView workbookViewId="0">
      <pane xSplit="2" ySplit="1" topLeftCell="C2" activePane="bottomRight" state="frozen"/>
      <selection sqref="A1:H8"/>
      <selection pane="topRight" sqref="A1:H8"/>
      <selection pane="bottomLeft" sqref="A1:H8"/>
      <selection pane="bottomRight" activeCell="C2" sqref="C2"/>
    </sheetView>
  </sheetViews>
  <sheetFormatPr defaultRowHeight="10.5" x14ac:dyDescent="0.15"/>
  <cols>
    <col min="1" max="1" width="7" style="204" bestFit="1" customWidth="1"/>
    <col min="2" max="2" width="41.140625" style="204" bestFit="1" customWidth="1"/>
    <col min="3" max="3" width="9.5703125" style="204" bestFit="1" customWidth="1"/>
    <col min="4" max="5" width="7.85546875" style="204" bestFit="1" customWidth="1"/>
    <col min="6" max="7" width="9.5703125" style="204" bestFit="1" customWidth="1"/>
    <col min="8" max="13" width="7.85546875" style="204" bestFit="1" customWidth="1"/>
    <col min="14" max="14" width="9.5703125" style="204" bestFit="1" customWidth="1"/>
    <col min="15" max="15" width="9.85546875" style="204" bestFit="1" customWidth="1"/>
    <col min="16" max="16" width="11.140625" style="204" customWidth="1"/>
    <col min="17" max="16384" width="9.140625" style="204"/>
  </cols>
  <sheetData>
    <row r="1" spans="1:16" ht="31.5" x14ac:dyDescent="0.15">
      <c r="A1" s="85" t="s">
        <v>193</v>
      </c>
      <c r="B1" s="205" t="s">
        <v>263</v>
      </c>
      <c r="C1" s="88">
        <v>201610</v>
      </c>
      <c r="D1" s="88">
        <v>201611</v>
      </c>
      <c r="E1" s="88">
        <v>201612</v>
      </c>
      <c r="F1" s="88">
        <v>201701</v>
      </c>
      <c r="G1" s="88">
        <v>201702</v>
      </c>
      <c r="H1" s="88">
        <v>201703</v>
      </c>
      <c r="I1" s="88">
        <v>201704</v>
      </c>
      <c r="J1" s="88">
        <v>201705</v>
      </c>
      <c r="K1" s="88">
        <v>201706</v>
      </c>
      <c r="L1" s="88">
        <v>201707</v>
      </c>
      <c r="M1" s="88">
        <v>201708</v>
      </c>
      <c r="N1" s="88">
        <v>201709</v>
      </c>
      <c r="O1" s="88" t="s">
        <v>965</v>
      </c>
      <c r="P1" s="88" t="s">
        <v>986</v>
      </c>
    </row>
    <row r="2" spans="1:16" x14ac:dyDescent="0.15">
      <c r="B2" s="205" t="s">
        <v>287</v>
      </c>
    </row>
    <row r="3" spans="1:16" x14ac:dyDescent="0.15">
      <c r="B3" s="204" t="s">
        <v>242</v>
      </c>
      <c r="C3" s="439" t="s">
        <v>792</v>
      </c>
      <c r="D3" s="439" t="s">
        <v>793</v>
      </c>
      <c r="E3" s="439" t="s">
        <v>794</v>
      </c>
      <c r="F3" s="439" t="s">
        <v>783</v>
      </c>
      <c r="G3" s="439" t="s">
        <v>784</v>
      </c>
      <c r="H3" s="439" t="s">
        <v>785</v>
      </c>
      <c r="I3" s="439" t="s">
        <v>786</v>
      </c>
      <c r="J3" s="439" t="s">
        <v>787</v>
      </c>
      <c r="K3" s="439" t="s">
        <v>788</v>
      </c>
      <c r="L3" s="439" t="s">
        <v>789</v>
      </c>
      <c r="M3" s="439" t="s">
        <v>790</v>
      </c>
      <c r="N3" s="439" t="s">
        <v>791</v>
      </c>
    </row>
    <row r="4" spans="1:16" x14ac:dyDescent="0.15">
      <c r="A4" s="207">
        <v>75</v>
      </c>
      <c r="B4" s="204" t="s">
        <v>243</v>
      </c>
      <c r="C4" s="204">
        <v>0.79300000000000004</v>
      </c>
      <c r="D4" s="204">
        <v>0.79300000000000004</v>
      </c>
      <c r="E4" s="204">
        <v>0.79300000000000004</v>
      </c>
      <c r="F4" s="204">
        <v>0.79300000000000004</v>
      </c>
      <c r="G4" s="204">
        <v>0.79300000000000004</v>
      </c>
      <c r="H4" s="204">
        <v>0.79300000000000004</v>
      </c>
      <c r="I4" s="204">
        <v>0.79300000000000004</v>
      </c>
      <c r="J4" s="204">
        <v>0.79300000000000004</v>
      </c>
      <c r="K4" s="204">
        <v>0.79300000000000004</v>
      </c>
      <c r="L4" s="204">
        <v>0.79300000000000004</v>
      </c>
      <c r="M4" s="204">
        <v>0.79300000000000004</v>
      </c>
      <c r="N4" s="204">
        <v>0.79300000000000004</v>
      </c>
      <c r="O4" s="441">
        <f>AVERAGE(C4:N4)</f>
        <v>0.79300000000000004</v>
      </c>
      <c r="P4" s="505">
        <f>O4</f>
        <v>0.79300000000000004</v>
      </c>
    </row>
    <row r="5" spans="1:16" x14ac:dyDescent="0.15">
      <c r="A5" s="207">
        <v>65</v>
      </c>
      <c r="B5" s="204" t="s">
        <v>244</v>
      </c>
      <c r="L5" s="204">
        <v>0.95599999999999996</v>
      </c>
      <c r="M5" s="204">
        <v>0.95599999999999996</v>
      </c>
      <c r="N5" s="204">
        <v>0.95599999999999996</v>
      </c>
      <c r="O5" s="441">
        <f>AVERAGE(C5:N5)</f>
        <v>0.95599999999999996</v>
      </c>
      <c r="P5" s="505">
        <f>O5</f>
        <v>0.95599999999999996</v>
      </c>
    </row>
    <row r="6" spans="1:16" x14ac:dyDescent="0.15">
      <c r="A6" s="207">
        <v>0</v>
      </c>
      <c r="C6" s="204">
        <v>0.95599999999999996</v>
      </c>
      <c r="D6" s="204">
        <v>0.95599999999999996</v>
      </c>
      <c r="E6" s="204">
        <v>0.95599999999999996</v>
      </c>
      <c r="F6" s="204">
        <v>0.95599999999999996</v>
      </c>
      <c r="G6" s="204">
        <v>0.95599999999999996</v>
      </c>
      <c r="H6" s="204">
        <v>0.95599999999999996</v>
      </c>
      <c r="I6" s="204">
        <v>0.95599999999999996</v>
      </c>
      <c r="J6" s="204">
        <v>0.95599999999999996</v>
      </c>
      <c r="K6" s="204">
        <v>0.95599999999999996</v>
      </c>
    </row>
    <row r="7" spans="1:16" x14ac:dyDescent="0.15">
      <c r="A7" s="207"/>
      <c r="B7" s="204" t="s">
        <v>245</v>
      </c>
      <c r="C7" s="204">
        <v>2.802</v>
      </c>
      <c r="D7" s="204">
        <v>2.802</v>
      </c>
      <c r="E7" s="204">
        <v>2.802</v>
      </c>
      <c r="F7" s="204">
        <v>2.802</v>
      </c>
      <c r="G7" s="204">
        <v>2.802</v>
      </c>
      <c r="H7" s="204">
        <v>2.802</v>
      </c>
      <c r="I7" s="204">
        <v>2.802</v>
      </c>
      <c r="J7" s="204">
        <v>2.802</v>
      </c>
      <c r="K7" s="204">
        <v>2.802</v>
      </c>
      <c r="L7" s="204">
        <v>2.802</v>
      </c>
      <c r="M7" s="204">
        <v>2.802</v>
      </c>
      <c r="N7" s="204">
        <v>2.802</v>
      </c>
      <c r="O7" s="441">
        <f>AVERAGE(C7:N7)</f>
        <v>2.802</v>
      </c>
      <c r="P7" s="505">
        <f>O7</f>
        <v>2.802</v>
      </c>
    </row>
    <row r="8" spans="1:16" x14ac:dyDescent="0.15">
      <c r="A8" s="207"/>
    </row>
    <row r="9" spans="1:16" x14ac:dyDescent="0.15">
      <c r="B9" s="205" t="s">
        <v>286</v>
      </c>
    </row>
    <row r="10" spans="1:16" x14ac:dyDescent="0.15">
      <c r="B10" s="204" t="s">
        <v>242</v>
      </c>
      <c r="C10" s="439" t="s">
        <v>792</v>
      </c>
      <c r="D10" s="439" t="s">
        <v>793</v>
      </c>
      <c r="E10" s="439" t="s">
        <v>794</v>
      </c>
      <c r="F10" s="439" t="s">
        <v>783</v>
      </c>
      <c r="G10" s="439" t="s">
        <v>784</v>
      </c>
      <c r="H10" s="439" t="s">
        <v>785</v>
      </c>
      <c r="I10" s="439" t="s">
        <v>786</v>
      </c>
      <c r="J10" s="439" t="s">
        <v>787</v>
      </c>
      <c r="K10" s="439" t="s">
        <v>788</v>
      </c>
      <c r="L10" s="439" t="s">
        <v>789</v>
      </c>
      <c r="M10" s="439" t="s">
        <v>790</v>
      </c>
      <c r="N10" s="439" t="s">
        <v>791</v>
      </c>
    </row>
    <row r="11" spans="1:16" x14ac:dyDescent="0.15">
      <c r="A11" s="207">
        <v>75</v>
      </c>
      <c r="B11" s="204" t="s">
        <v>243</v>
      </c>
      <c r="C11" s="204">
        <v>0.79300000000000004</v>
      </c>
      <c r="D11" s="204">
        <v>0.79300000000000004</v>
      </c>
      <c r="E11" s="204">
        <v>0.79300000000000004</v>
      </c>
      <c r="F11" s="204">
        <v>0.79300000000000004</v>
      </c>
      <c r="G11" s="204">
        <v>0.79300000000000004</v>
      </c>
      <c r="H11" s="204">
        <v>0.79300000000000004</v>
      </c>
      <c r="I11" s="204">
        <v>0.79300000000000004</v>
      </c>
      <c r="J11" s="204">
        <v>0.79300000000000004</v>
      </c>
      <c r="K11" s="204">
        <v>0.79300000000000004</v>
      </c>
      <c r="L11" s="204">
        <v>0.79300000000000004</v>
      </c>
      <c r="M11" s="204">
        <v>0.79300000000000004</v>
      </c>
      <c r="N11" s="204">
        <v>0.79300000000000004</v>
      </c>
      <c r="O11" s="441">
        <f>AVERAGE(C11:N11)</f>
        <v>0.79300000000000004</v>
      </c>
      <c r="P11" s="505">
        <f>O11</f>
        <v>0.79300000000000004</v>
      </c>
    </row>
    <row r="12" spans="1:16" x14ac:dyDescent="0.15">
      <c r="A12" s="207">
        <v>65</v>
      </c>
      <c r="B12" s="204" t="s">
        <v>244</v>
      </c>
      <c r="L12" s="204">
        <v>0.95599999999999996</v>
      </c>
      <c r="M12" s="204">
        <v>0.95599999999999996</v>
      </c>
      <c r="N12" s="204">
        <v>0.95599999999999996</v>
      </c>
      <c r="O12" s="441">
        <f>AVERAGE(C12:N12)</f>
        <v>0.95599999999999996</v>
      </c>
      <c r="P12" s="505">
        <f>O12</f>
        <v>0.95599999999999996</v>
      </c>
    </row>
    <row r="13" spans="1:16" x14ac:dyDescent="0.15">
      <c r="A13" s="207">
        <v>0</v>
      </c>
      <c r="C13" s="204">
        <v>0.95599999999999996</v>
      </c>
      <c r="D13" s="204">
        <v>0.95599999999999996</v>
      </c>
      <c r="E13" s="204">
        <v>0.95599999999999996</v>
      </c>
      <c r="F13" s="204">
        <v>0.95599999999999996</v>
      </c>
      <c r="G13" s="204">
        <v>0.95599999999999996</v>
      </c>
      <c r="H13" s="204">
        <v>0.95599999999999996</v>
      </c>
      <c r="I13" s="204">
        <v>0.95599999999999996</v>
      </c>
      <c r="J13" s="204">
        <v>0.95599999999999996</v>
      </c>
      <c r="K13" s="204">
        <v>0.95599999999999996</v>
      </c>
    </row>
    <row r="14" spans="1:16" x14ac:dyDescent="0.15">
      <c r="A14" s="207"/>
      <c r="B14" s="204" t="s">
        <v>245</v>
      </c>
      <c r="C14" s="204">
        <v>2.802</v>
      </c>
      <c r="D14" s="204">
        <v>2.802</v>
      </c>
      <c r="E14" s="204">
        <v>2.802</v>
      </c>
      <c r="F14" s="204">
        <v>2.802</v>
      </c>
      <c r="G14" s="204">
        <v>2.802</v>
      </c>
      <c r="H14" s="204">
        <v>2.802</v>
      </c>
      <c r="I14" s="204">
        <v>2.802</v>
      </c>
      <c r="J14" s="204">
        <v>2.802</v>
      </c>
      <c r="K14" s="204">
        <v>2.802</v>
      </c>
      <c r="L14" s="204">
        <v>2.802</v>
      </c>
      <c r="M14" s="204">
        <v>2.802</v>
      </c>
      <c r="N14" s="204">
        <v>2.802</v>
      </c>
      <c r="O14" s="441">
        <f>AVERAGE(C14:N14)</f>
        <v>2.802</v>
      </c>
      <c r="P14" s="505">
        <f>O14</f>
        <v>2.802</v>
      </c>
    </row>
    <row r="15" spans="1:16" x14ac:dyDescent="0.15">
      <c r="A15" s="207"/>
    </row>
    <row r="16" spans="1:16" x14ac:dyDescent="0.15">
      <c r="A16" s="207"/>
      <c r="B16" s="205" t="s">
        <v>269</v>
      </c>
    </row>
    <row r="17" spans="1:16" x14ac:dyDescent="0.15">
      <c r="A17" s="207"/>
      <c r="B17" s="204" t="s">
        <v>242</v>
      </c>
      <c r="C17" s="439" t="s">
        <v>792</v>
      </c>
      <c r="D17" s="439" t="s">
        <v>793</v>
      </c>
      <c r="E17" s="439" t="s">
        <v>794</v>
      </c>
      <c r="F17" s="439" t="s">
        <v>783</v>
      </c>
      <c r="G17" s="439" t="s">
        <v>784</v>
      </c>
      <c r="H17" s="439" t="s">
        <v>785</v>
      </c>
      <c r="I17" s="439" t="s">
        <v>786</v>
      </c>
      <c r="J17" s="439" t="s">
        <v>787</v>
      </c>
      <c r="K17" s="439" t="s">
        <v>788</v>
      </c>
      <c r="L17" s="439" t="s">
        <v>789</v>
      </c>
      <c r="M17" s="439" t="s">
        <v>790</v>
      </c>
      <c r="N17" s="439" t="s">
        <v>791</v>
      </c>
    </row>
    <row r="18" spans="1:16" x14ac:dyDescent="0.15">
      <c r="A18" s="207">
        <v>100</v>
      </c>
      <c r="B18" s="204" t="s">
        <v>246</v>
      </c>
      <c r="C18" s="204">
        <v>0.69699999999999995</v>
      </c>
      <c r="D18" s="204">
        <v>0.69699999999999995</v>
      </c>
      <c r="E18" s="204">
        <v>0.69699999999999995</v>
      </c>
      <c r="F18" s="204">
        <v>0.69699999999999995</v>
      </c>
      <c r="G18" s="204">
        <v>0.69699999999999995</v>
      </c>
      <c r="H18" s="204">
        <v>0.69699999999999995</v>
      </c>
      <c r="I18" s="204">
        <v>0.69699999999999995</v>
      </c>
      <c r="J18" s="204">
        <v>0.69699999999999995</v>
      </c>
      <c r="K18" s="204">
        <v>0.69699999999999995</v>
      </c>
      <c r="L18" s="204">
        <v>0.69699999999999995</v>
      </c>
      <c r="M18" s="204">
        <v>0.69699999999999995</v>
      </c>
      <c r="N18" s="204">
        <v>0.69699999999999995</v>
      </c>
      <c r="O18" s="441">
        <f>AVERAGE(C18:N18)</f>
        <v>0.69699999999999995</v>
      </c>
      <c r="P18" s="505">
        <f>O18</f>
        <v>0.69699999999999995</v>
      </c>
    </row>
    <row r="19" spans="1:16" x14ac:dyDescent="0.15">
      <c r="A19" s="207">
        <v>50</v>
      </c>
      <c r="B19" s="204" t="s">
        <v>247</v>
      </c>
      <c r="C19" s="204">
        <v>0.82199999999999995</v>
      </c>
      <c r="D19" s="204">
        <v>0.82199999999999995</v>
      </c>
      <c r="E19" s="204">
        <v>0.82199999999999995</v>
      </c>
      <c r="F19" s="204">
        <v>0.82199999999999995</v>
      </c>
      <c r="G19" s="204">
        <v>0.82199999999999995</v>
      </c>
      <c r="H19" s="204">
        <v>0.82199999999999995</v>
      </c>
      <c r="I19" s="204">
        <v>0.82199999999999995</v>
      </c>
      <c r="J19" s="204">
        <v>0.82199999999999995</v>
      </c>
      <c r="K19" s="204">
        <v>0.82199999999999995</v>
      </c>
      <c r="L19" s="204">
        <v>0.82199999999999995</v>
      </c>
      <c r="M19" s="204">
        <v>0.82199999999999995</v>
      </c>
      <c r="N19" s="204">
        <v>0.82199999999999995</v>
      </c>
      <c r="O19" s="441">
        <f>AVERAGE(C19:N19)</f>
        <v>0.82199999999999973</v>
      </c>
      <c r="P19" s="505">
        <f>O19</f>
        <v>0.82199999999999973</v>
      </c>
    </row>
    <row r="20" spans="1:16" x14ac:dyDescent="0.15">
      <c r="A20" s="207">
        <v>0</v>
      </c>
    </row>
    <row r="21" spans="1:16" x14ac:dyDescent="0.15">
      <c r="A21" s="207"/>
      <c r="B21" s="204" t="s">
        <v>245</v>
      </c>
      <c r="C21" s="204">
        <v>2.802</v>
      </c>
      <c r="D21" s="204">
        <v>2.802</v>
      </c>
      <c r="E21" s="204">
        <v>2.802</v>
      </c>
      <c r="F21" s="204">
        <v>2.802</v>
      </c>
      <c r="G21" s="204">
        <v>2.802</v>
      </c>
      <c r="H21" s="204">
        <v>2.802</v>
      </c>
      <c r="I21" s="204">
        <v>2.802</v>
      </c>
      <c r="J21" s="204">
        <v>2.802</v>
      </c>
      <c r="K21" s="204">
        <v>2.802</v>
      </c>
      <c r="L21" s="204">
        <v>2.802</v>
      </c>
      <c r="M21" s="204">
        <v>2.802</v>
      </c>
      <c r="N21" s="204">
        <v>2.802</v>
      </c>
      <c r="O21" s="441">
        <f>AVERAGE(C21:N21)</f>
        <v>2.802</v>
      </c>
      <c r="P21" s="505">
        <f>O21</f>
        <v>2.802</v>
      </c>
    </row>
    <row r="22" spans="1:16" x14ac:dyDescent="0.15">
      <c r="A22" s="207"/>
    </row>
    <row r="23" spans="1:16" x14ac:dyDescent="0.15">
      <c r="A23" s="207"/>
      <c r="B23" s="205" t="s">
        <v>270</v>
      </c>
    </row>
    <row r="24" spans="1:16" x14ac:dyDescent="0.15">
      <c r="A24" s="207"/>
      <c r="B24" s="204" t="s">
        <v>242</v>
      </c>
      <c r="C24" s="439" t="s">
        <v>792</v>
      </c>
      <c r="D24" s="439" t="s">
        <v>793</v>
      </c>
      <c r="E24" s="439" t="s">
        <v>794</v>
      </c>
      <c r="F24" s="439" t="s">
        <v>783</v>
      </c>
      <c r="G24" s="439" t="s">
        <v>784</v>
      </c>
      <c r="H24" s="439" t="s">
        <v>785</v>
      </c>
      <c r="I24" s="439" t="s">
        <v>786</v>
      </c>
      <c r="J24" s="439" t="s">
        <v>787</v>
      </c>
      <c r="K24" s="439" t="s">
        <v>788</v>
      </c>
      <c r="L24" s="439" t="s">
        <v>789</v>
      </c>
      <c r="M24" s="439" t="s">
        <v>790</v>
      </c>
      <c r="N24" s="439" t="s">
        <v>791</v>
      </c>
    </row>
    <row r="25" spans="1:16" x14ac:dyDescent="0.15">
      <c r="A25" s="207">
        <v>75</v>
      </c>
      <c r="B25" s="204" t="s">
        <v>243</v>
      </c>
      <c r="C25" s="204">
        <v>0.79300000000000004</v>
      </c>
      <c r="D25" s="204">
        <v>0.79300000000000004</v>
      </c>
      <c r="E25" s="204">
        <v>0.79300000000000004</v>
      </c>
      <c r="F25" s="204">
        <v>0.79300000000000004</v>
      </c>
      <c r="G25" s="204">
        <v>0.79300000000000004</v>
      </c>
      <c r="H25" s="204">
        <v>0.79300000000000004</v>
      </c>
      <c r="I25" s="204">
        <v>0.79300000000000004</v>
      </c>
      <c r="J25" s="204">
        <v>0.79300000000000004</v>
      </c>
      <c r="K25" s="204">
        <v>0.79300000000000004</v>
      </c>
      <c r="L25" s="204">
        <v>0.79300000000000004</v>
      </c>
      <c r="M25" s="204">
        <v>0.79300000000000004</v>
      </c>
      <c r="N25" s="204">
        <v>0.79300000000000004</v>
      </c>
      <c r="O25" s="441">
        <f>AVERAGE(C25:N25)</f>
        <v>0.79300000000000004</v>
      </c>
      <c r="P25" s="505">
        <f>O25</f>
        <v>0.79300000000000004</v>
      </c>
    </row>
    <row r="26" spans="1:16" x14ac:dyDescent="0.15">
      <c r="A26" s="207">
        <v>75</v>
      </c>
      <c r="B26" s="204" t="s">
        <v>248</v>
      </c>
      <c r="C26" s="204">
        <v>0.95599999999999996</v>
      </c>
      <c r="D26" s="204">
        <v>0.95599999999999996</v>
      </c>
      <c r="E26" s="204">
        <v>0.95599999999999996</v>
      </c>
      <c r="F26" s="204">
        <v>0.95599999999999996</v>
      </c>
      <c r="G26" s="204">
        <v>0.95599999999999996</v>
      </c>
      <c r="H26" s="204">
        <v>0.95599999999999996</v>
      </c>
      <c r="I26" s="204">
        <v>0.95599999999999996</v>
      </c>
      <c r="J26" s="204">
        <v>0.95599999999999996</v>
      </c>
      <c r="K26" s="204">
        <v>0.95599999999999996</v>
      </c>
      <c r="L26" s="204">
        <v>0.95599999999999996</v>
      </c>
      <c r="M26" s="204">
        <v>0.95599999999999996</v>
      </c>
      <c r="N26" s="204">
        <v>0.95599999999999996</v>
      </c>
      <c r="O26" s="441">
        <f>AVERAGE(C26:N26)</f>
        <v>0.95599999999999963</v>
      </c>
      <c r="P26" s="505">
        <f>O26</f>
        <v>0.95599999999999963</v>
      </c>
    </row>
    <row r="27" spans="1:16" x14ac:dyDescent="0.15">
      <c r="A27" s="207">
        <v>0</v>
      </c>
    </row>
    <row r="28" spans="1:16" x14ac:dyDescent="0.15">
      <c r="A28" s="207"/>
      <c r="B28" s="204" t="s">
        <v>245</v>
      </c>
      <c r="C28" s="204">
        <v>2.802</v>
      </c>
      <c r="D28" s="204">
        <v>2.802</v>
      </c>
      <c r="E28" s="204">
        <v>2.802</v>
      </c>
      <c r="F28" s="204">
        <v>2.802</v>
      </c>
      <c r="G28" s="204">
        <v>2.802</v>
      </c>
      <c r="H28" s="204">
        <v>2.802</v>
      </c>
      <c r="I28" s="204">
        <v>2.802</v>
      </c>
      <c r="J28" s="204">
        <v>2.802</v>
      </c>
      <c r="K28" s="204">
        <v>2.802</v>
      </c>
      <c r="L28" s="204">
        <v>2.802</v>
      </c>
      <c r="M28" s="204">
        <v>2.802</v>
      </c>
      <c r="N28" s="204">
        <v>2.802</v>
      </c>
      <c r="O28" s="441">
        <f>AVERAGE(C28:N28)</f>
        <v>2.802</v>
      </c>
      <c r="P28" s="505">
        <f>O28</f>
        <v>2.802</v>
      </c>
    </row>
    <row r="29" spans="1:16" x14ac:dyDescent="0.15">
      <c r="A29" s="207"/>
    </row>
    <row r="30" spans="1:16" x14ac:dyDescent="0.15">
      <c r="A30" s="207"/>
      <c r="B30" s="205" t="s">
        <v>275</v>
      </c>
    </row>
    <row r="31" spans="1:16" x14ac:dyDescent="0.15">
      <c r="A31" s="207"/>
      <c r="B31" s="204" t="s">
        <v>242</v>
      </c>
      <c r="C31" s="439" t="s">
        <v>792</v>
      </c>
      <c r="D31" s="439" t="s">
        <v>793</v>
      </c>
      <c r="E31" s="439" t="s">
        <v>794</v>
      </c>
      <c r="F31" s="439" t="s">
        <v>783</v>
      </c>
      <c r="G31" s="439" t="s">
        <v>784</v>
      </c>
      <c r="H31" s="439" t="s">
        <v>785</v>
      </c>
      <c r="I31" s="439" t="s">
        <v>786</v>
      </c>
      <c r="J31" s="439" t="s">
        <v>787</v>
      </c>
      <c r="K31" s="439" t="s">
        <v>788</v>
      </c>
      <c r="L31" s="439" t="s">
        <v>789</v>
      </c>
      <c r="M31" s="439" t="s">
        <v>790</v>
      </c>
      <c r="N31" s="439" t="s">
        <v>791</v>
      </c>
    </row>
    <row r="32" spans="1:16" x14ac:dyDescent="0.15">
      <c r="A32" s="207">
        <v>125</v>
      </c>
      <c r="B32" s="204" t="s">
        <v>249</v>
      </c>
      <c r="C32" s="204">
        <v>0.69699999999999995</v>
      </c>
      <c r="D32" s="204">
        <v>0.69699999999999995</v>
      </c>
      <c r="E32" s="204">
        <v>0.69699999999999995</v>
      </c>
      <c r="F32" s="204">
        <v>0.69699999999999995</v>
      </c>
      <c r="G32" s="204">
        <v>0.69699999999999995</v>
      </c>
      <c r="H32" s="204">
        <v>0.69699999999999995</v>
      </c>
      <c r="I32" s="204">
        <v>0.69699999999999995</v>
      </c>
      <c r="J32" s="204">
        <v>0.69699999999999995</v>
      </c>
      <c r="K32" s="204">
        <v>0.69699999999999995</v>
      </c>
      <c r="L32" s="204">
        <v>0.69699999999999995</v>
      </c>
      <c r="M32" s="204">
        <v>0.69699999999999995</v>
      </c>
      <c r="N32" s="204">
        <v>0.69699999999999995</v>
      </c>
      <c r="O32" s="441">
        <f>AVERAGE(C32:N32)</f>
        <v>0.69699999999999995</v>
      </c>
      <c r="P32" s="505">
        <f>O32</f>
        <v>0.69699999999999995</v>
      </c>
    </row>
    <row r="33" spans="1:16" x14ac:dyDescent="0.15">
      <c r="A33" s="207">
        <v>100</v>
      </c>
      <c r="B33" s="204" t="s">
        <v>250</v>
      </c>
      <c r="C33" s="204">
        <v>0.82199999999999995</v>
      </c>
      <c r="D33" s="204">
        <v>0.82199999999999995</v>
      </c>
      <c r="E33" s="204">
        <v>0.82199999999999995</v>
      </c>
      <c r="F33" s="204">
        <v>0.82199999999999995</v>
      </c>
      <c r="G33" s="204">
        <v>0.82199999999999995</v>
      </c>
      <c r="H33" s="204">
        <v>0.82199999999999995</v>
      </c>
      <c r="I33" s="204">
        <v>0.82199999999999995</v>
      </c>
      <c r="J33" s="204">
        <v>0.82199999999999995</v>
      </c>
      <c r="K33" s="204">
        <v>0.82199999999999995</v>
      </c>
      <c r="L33" s="204">
        <v>0.82199999999999995</v>
      </c>
      <c r="M33" s="204">
        <v>0.82199999999999995</v>
      </c>
      <c r="N33" s="204">
        <v>0.82199999999999995</v>
      </c>
      <c r="O33" s="441">
        <f>AVERAGE(C33:N33)</f>
        <v>0.82199999999999973</v>
      </c>
      <c r="P33" s="505">
        <f>O33</f>
        <v>0.82199999999999973</v>
      </c>
    </row>
    <row r="34" spans="1:16" x14ac:dyDescent="0.15">
      <c r="A34" s="207">
        <v>0</v>
      </c>
    </row>
    <row r="35" spans="1:16" x14ac:dyDescent="0.15">
      <c r="A35" s="207"/>
      <c r="B35" s="204" t="s">
        <v>245</v>
      </c>
      <c r="C35" s="204">
        <v>2.802</v>
      </c>
      <c r="D35" s="204">
        <v>2.802</v>
      </c>
      <c r="E35" s="204">
        <v>2.802</v>
      </c>
      <c r="F35" s="204">
        <v>2.802</v>
      </c>
      <c r="G35" s="204">
        <v>2.802</v>
      </c>
      <c r="H35" s="204">
        <v>2.802</v>
      </c>
      <c r="I35" s="204">
        <v>2.802</v>
      </c>
      <c r="J35" s="204">
        <v>2.802</v>
      </c>
      <c r="K35" s="204">
        <v>2.802</v>
      </c>
      <c r="L35" s="204">
        <v>2.802</v>
      </c>
      <c r="M35" s="204">
        <v>2.802</v>
      </c>
      <c r="N35" s="204">
        <v>2.802</v>
      </c>
      <c r="O35" s="441">
        <f>AVERAGE(C35:N35)</f>
        <v>2.802</v>
      </c>
      <c r="P35" s="505">
        <f>O35</f>
        <v>2.802</v>
      </c>
    </row>
    <row r="36" spans="1:16" x14ac:dyDescent="0.15">
      <c r="A36" s="207"/>
    </row>
    <row r="37" spans="1:16" x14ac:dyDescent="0.15">
      <c r="A37" s="207"/>
      <c r="B37" s="205" t="s">
        <v>280</v>
      </c>
    </row>
    <row r="38" spans="1:16" x14ac:dyDescent="0.15">
      <c r="A38" s="207"/>
      <c r="B38" s="204" t="s">
        <v>242</v>
      </c>
      <c r="C38" s="439" t="s">
        <v>792</v>
      </c>
      <c r="D38" s="439" t="s">
        <v>793</v>
      </c>
      <c r="E38" s="439" t="s">
        <v>794</v>
      </c>
      <c r="F38" s="439" t="s">
        <v>783</v>
      </c>
      <c r="G38" s="439" t="s">
        <v>784</v>
      </c>
      <c r="H38" s="439" t="s">
        <v>785</v>
      </c>
      <c r="I38" s="439" t="s">
        <v>786</v>
      </c>
      <c r="J38" s="439" t="s">
        <v>787</v>
      </c>
      <c r="K38" s="439" t="s">
        <v>788</v>
      </c>
      <c r="L38" s="439" t="s">
        <v>789</v>
      </c>
      <c r="M38" s="439" t="s">
        <v>790</v>
      </c>
      <c r="N38" s="439" t="s">
        <v>791</v>
      </c>
    </row>
    <row r="39" spans="1:16" x14ac:dyDescent="0.15">
      <c r="A39" s="207">
        <v>75</v>
      </c>
      <c r="B39" s="204" t="s">
        <v>243</v>
      </c>
      <c r="C39" s="204">
        <v>0.79300000000000004</v>
      </c>
      <c r="D39" s="204">
        <v>0.79300000000000004</v>
      </c>
      <c r="E39" s="204">
        <v>0.79300000000000004</v>
      </c>
      <c r="F39" s="204">
        <v>0.79300000000000004</v>
      </c>
      <c r="G39" s="204">
        <v>0.79300000000000004</v>
      </c>
      <c r="H39" s="204">
        <v>0.79300000000000004</v>
      </c>
      <c r="I39" s="204">
        <v>0.79300000000000004</v>
      </c>
      <c r="J39" s="204">
        <v>0.79300000000000004</v>
      </c>
      <c r="K39" s="204">
        <v>0.79300000000000004</v>
      </c>
      <c r="L39" s="204">
        <v>0.79300000000000004</v>
      </c>
      <c r="M39" s="204">
        <v>0.79300000000000004</v>
      </c>
      <c r="N39" s="204">
        <v>0.79300000000000004</v>
      </c>
      <c r="O39" s="441">
        <f>AVERAGE(C39:N39)</f>
        <v>0.79300000000000004</v>
      </c>
      <c r="P39" s="505">
        <f>O39</f>
        <v>0.79300000000000004</v>
      </c>
    </row>
    <row r="40" spans="1:16" x14ac:dyDescent="0.15">
      <c r="A40" s="207">
        <v>100</v>
      </c>
      <c r="B40" s="204" t="s">
        <v>251</v>
      </c>
      <c r="C40" s="204">
        <v>0.95599999999999996</v>
      </c>
      <c r="D40" s="204">
        <v>0.95599999999999996</v>
      </c>
      <c r="E40" s="204">
        <v>0.95599999999999996</v>
      </c>
      <c r="F40" s="204">
        <v>0.95599999999999996</v>
      </c>
      <c r="G40" s="204">
        <v>0.95599999999999996</v>
      </c>
      <c r="H40" s="204">
        <v>0.95599999999999996</v>
      </c>
      <c r="I40" s="204">
        <v>0.95599999999999996</v>
      </c>
      <c r="J40" s="204">
        <v>0.95599999999999996</v>
      </c>
      <c r="K40" s="204">
        <v>0.95599999999999996</v>
      </c>
      <c r="L40" s="204">
        <v>0.95599999999999996</v>
      </c>
      <c r="M40" s="204">
        <v>0.95599999999999996</v>
      </c>
      <c r="N40" s="204">
        <v>0.95599999999999996</v>
      </c>
      <c r="O40" s="441">
        <f>AVERAGE(C40:N40)</f>
        <v>0.95599999999999963</v>
      </c>
      <c r="P40" s="505">
        <f>O40</f>
        <v>0.95599999999999963</v>
      </c>
    </row>
    <row r="41" spans="1:16" x14ac:dyDescent="0.15">
      <c r="A41" s="207">
        <v>0</v>
      </c>
    </row>
    <row r="42" spans="1:16" x14ac:dyDescent="0.15">
      <c r="A42" s="207"/>
      <c r="B42" s="204" t="s">
        <v>245</v>
      </c>
      <c r="C42" s="204">
        <v>2.802</v>
      </c>
      <c r="D42" s="204">
        <v>2.802</v>
      </c>
      <c r="E42" s="204">
        <v>2.802</v>
      </c>
      <c r="F42" s="204">
        <v>2.802</v>
      </c>
      <c r="G42" s="204">
        <v>2.802</v>
      </c>
      <c r="H42" s="204">
        <v>2.802</v>
      </c>
      <c r="I42" s="204">
        <v>2.802</v>
      </c>
      <c r="J42" s="204">
        <v>2.802</v>
      </c>
      <c r="K42" s="204">
        <v>2.802</v>
      </c>
      <c r="L42" s="204">
        <v>2.802</v>
      </c>
      <c r="M42" s="204">
        <v>2.802</v>
      </c>
      <c r="N42" s="204">
        <v>2.802</v>
      </c>
      <c r="O42" s="441">
        <f>AVERAGE(C42:N42)</f>
        <v>2.802</v>
      </c>
      <c r="P42" s="505">
        <f>O42</f>
        <v>2.802</v>
      </c>
    </row>
    <row r="43" spans="1:16" x14ac:dyDescent="0.15">
      <c r="A43" s="207"/>
    </row>
    <row r="44" spans="1:16" x14ac:dyDescent="0.15">
      <c r="A44" s="207"/>
      <c r="B44" s="205" t="s">
        <v>274</v>
      </c>
    </row>
    <row r="45" spans="1:16" x14ac:dyDescent="0.15">
      <c r="A45" s="207"/>
      <c r="B45" s="204" t="s">
        <v>242</v>
      </c>
      <c r="C45" s="439" t="s">
        <v>792</v>
      </c>
      <c r="D45" s="439" t="s">
        <v>793</v>
      </c>
      <c r="E45" s="439" t="s">
        <v>794</v>
      </c>
      <c r="F45" s="439" t="s">
        <v>783</v>
      </c>
      <c r="G45" s="439" t="s">
        <v>784</v>
      </c>
      <c r="H45" s="439" t="s">
        <v>785</v>
      </c>
      <c r="I45" s="439" t="s">
        <v>786</v>
      </c>
      <c r="J45" s="439" t="s">
        <v>787</v>
      </c>
      <c r="K45" s="439" t="s">
        <v>788</v>
      </c>
      <c r="L45" s="439" t="s">
        <v>789</v>
      </c>
      <c r="M45" s="439" t="s">
        <v>790</v>
      </c>
      <c r="N45" s="439" t="s">
        <v>791</v>
      </c>
    </row>
    <row r="46" spans="1:16" x14ac:dyDescent="0.15">
      <c r="A46" s="207">
        <v>150</v>
      </c>
      <c r="B46" s="204" t="s">
        <v>252</v>
      </c>
      <c r="C46" s="204">
        <v>0.69699999999999995</v>
      </c>
      <c r="D46" s="204">
        <v>0.69699999999999995</v>
      </c>
      <c r="E46" s="204">
        <v>0.69699999999999995</v>
      </c>
      <c r="F46" s="204">
        <v>0.69699999999999995</v>
      </c>
      <c r="G46" s="204">
        <v>0.69699999999999995</v>
      </c>
      <c r="H46" s="204">
        <v>0.69699999999999995</v>
      </c>
      <c r="I46" s="204">
        <v>0.69699999999999995</v>
      </c>
      <c r="J46" s="204">
        <v>0.69699999999999995</v>
      </c>
      <c r="K46" s="204">
        <v>0.69699999999999995</v>
      </c>
      <c r="L46" s="204">
        <v>0.69699999999999995</v>
      </c>
      <c r="M46" s="204">
        <v>0.69699999999999995</v>
      </c>
      <c r="N46" s="204">
        <v>0.69699999999999995</v>
      </c>
      <c r="O46" s="441">
        <f>AVERAGE(C46:N46)</f>
        <v>0.69699999999999995</v>
      </c>
      <c r="P46" s="505">
        <f t="shared" ref="P46:P49" si="0">O46</f>
        <v>0.69699999999999995</v>
      </c>
    </row>
    <row r="47" spans="1:16" x14ac:dyDescent="0.15">
      <c r="A47" s="207">
        <v>150</v>
      </c>
      <c r="B47" s="204" t="s">
        <v>253</v>
      </c>
      <c r="C47" s="204">
        <v>0.82199999999999995</v>
      </c>
      <c r="D47" s="204">
        <v>0.82199999999999995</v>
      </c>
      <c r="E47" s="204">
        <v>0.82199999999999995</v>
      </c>
      <c r="F47" s="204">
        <v>0.82199999999999995</v>
      </c>
      <c r="G47" s="204">
        <v>0.82199999999999995</v>
      </c>
      <c r="H47" s="204">
        <v>0.82199999999999995</v>
      </c>
      <c r="I47" s="204">
        <v>0.82199999999999995</v>
      </c>
      <c r="J47" s="204">
        <v>0.82199999999999995</v>
      </c>
      <c r="K47" s="204">
        <v>0.82199999999999995</v>
      </c>
      <c r="L47" s="204">
        <v>0.82199999999999995</v>
      </c>
      <c r="M47" s="204">
        <v>0.82199999999999995</v>
      </c>
      <c r="N47" s="204">
        <v>0.82199999999999995</v>
      </c>
      <c r="O47" s="441">
        <f>AVERAGE(C47:N47)</f>
        <v>0.82199999999999973</v>
      </c>
      <c r="P47" s="505">
        <f t="shared" si="0"/>
        <v>0.82199999999999973</v>
      </c>
    </row>
    <row r="48" spans="1:16" x14ac:dyDescent="0.15">
      <c r="A48" s="207">
        <v>150</v>
      </c>
      <c r="B48" s="204" t="s">
        <v>254</v>
      </c>
      <c r="C48" s="204">
        <v>1.05</v>
      </c>
      <c r="D48" s="204">
        <v>1.05</v>
      </c>
      <c r="E48" s="204">
        <v>1.05</v>
      </c>
      <c r="F48" s="204">
        <v>1.05</v>
      </c>
      <c r="G48" s="204">
        <v>1.05</v>
      </c>
      <c r="H48" s="204">
        <v>1.05</v>
      </c>
      <c r="I48" s="204">
        <v>1.05</v>
      </c>
      <c r="J48" s="204">
        <v>1.05</v>
      </c>
      <c r="K48" s="204">
        <v>1.05</v>
      </c>
      <c r="L48" s="204">
        <v>1.05</v>
      </c>
      <c r="M48" s="204">
        <v>1.05</v>
      </c>
      <c r="N48" s="204">
        <v>1.05</v>
      </c>
      <c r="O48" s="441">
        <f>AVERAGE(C48:N48)</f>
        <v>1.0500000000000003</v>
      </c>
      <c r="P48" s="505">
        <f t="shared" si="0"/>
        <v>1.0500000000000003</v>
      </c>
    </row>
    <row r="49" spans="1:16" x14ac:dyDescent="0.15">
      <c r="A49" s="207"/>
      <c r="B49" s="204" t="s">
        <v>245</v>
      </c>
      <c r="C49" s="204">
        <v>2.802</v>
      </c>
      <c r="D49" s="204">
        <v>2.802</v>
      </c>
      <c r="E49" s="204">
        <v>2.802</v>
      </c>
      <c r="F49" s="204">
        <v>2.802</v>
      </c>
      <c r="G49" s="204">
        <v>2.802</v>
      </c>
      <c r="H49" s="204">
        <v>2.802</v>
      </c>
      <c r="I49" s="204">
        <v>2.802</v>
      </c>
      <c r="J49" s="204">
        <v>2.802</v>
      </c>
      <c r="K49" s="204">
        <v>2.802</v>
      </c>
      <c r="L49" s="204">
        <v>2.802</v>
      </c>
      <c r="M49" s="204">
        <v>2.802</v>
      </c>
      <c r="N49" s="204">
        <v>2.802</v>
      </c>
      <c r="O49" s="441">
        <f>AVERAGE(C49:N49)</f>
        <v>2.802</v>
      </c>
      <c r="P49" s="505">
        <f t="shared" si="0"/>
        <v>2.802</v>
      </c>
    </row>
    <row r="50" spans="1:16" x14ac:dyDescent="0.15">
      <c r="A50" s="207"/>
    </row>
    <row r="51" spans="1:16" x14ac:dyDescent="0.15">
      <c r="A51" s="207"/>
      <c r="B51" s="205" t="s">
        <v>279</v>
      </c>
    </row>
    <row r="52" spans="1:16" x14ac:dyDescent="0.15">
      <c r="A52" s="207"/>
      <c r="B52" s="204" t="s">
        <v>242</v>
      </c>
      <c r="C52" s="439" t="s">
        <v>792</v>
      </c>
      <c r="D52" s="439" t="s">
        <v>793</v>
      </c>
      <c r="E52" s="439" t="s">
        <v>794</v>
      </c>
      <c r="F52" s="439" t="s">
        <v>783</v>
      </c>
      <c r="G52" s="439" t="s">
        <v>784</v>
      </c>
      <c r="H52" s="439" t="s">
        <v>785</v>
      </c>
      <c r="I52" s="439" t="s">
        <v>786</v>
      </c>
      <c r="J52" s="439" t="s">
        <v>787</v>
      </c>
      <c r="K52" s="439" t="s">
        <v>788</v>
      </c>
      <c r="L52" s="439" t="s">
        <v>789</v>
      </c>
      <c r="M52" s="439" t="s">
        <v>790</v>
      </c>
      <c r="N52" s="439" t="s">
        <v>791</v>
      </c>
    </row>
    <row r="53" spans="1:16" x14ac:dyDescent="0.15">
      <c r="A53" s="207">
        <v>75</v>
      </c>
      <c r="B53" s="204" t="s">
        <v>243</v>
      </c>
      <c r="C53" s="204">
        <v>0.79300000000000004</v>
      </c>
      <c r="D53" s="204">
        <v>0.79300000000000004</v>
      </c>
      <c r="E53" s="204">
        <v>0.79300000000000004</v>
      </c>
      <c r="F53" s="204">
        <v>0.79300000000000004</v>
      </c>
      <c r="G53" s="204">
        <v>0.79300000000000004</v>
      </c>
      <c r="H53" s="204">
        <v>0.79300000000000004</v>
      </c>
      <c r="I53" s="204">
        <v>0.79300000000000004</v>
      </c>
      <c r="J53" s="204">
        <v>0.79300000000000004</v>
      </c>
      <c r="K53" s="204">
        <v>0.79300000000000004</v>
      </c>
      <c r="L53" s="204">
        <v>0.79300000000000004</v>
      </c>
      <c r="M53" s="204">
        <v>0.79300000000000004</v>
      </c>
      <c r="N53" s="204">
        <v>0.79300000000000004</v>
      </c>
      <c r="O53" s="441">
        <f>AVERAGE(C53:N53)</f>
        <v>0.79300000000000004</v>
      </c>
      <c r="P53" s="505">
        <f>O53</f>
        <v>0.79300000000000004</v>
      </c>
    </row>
    <row r="54" spans="1:16" x14ac:dyDescent="0.15">
      <c r="A54" s="207">
        <v>100</v>
      </c>
      <c r="B54" s="204" t="s">
        <v>251</v>
      </c>
      <c r="C54" s="204">
        <v>0.95599999999999996</v>
      </c>
      <c r="D54" s="204">
        <v>0.95599999999999996</v>
      </c>
      <c r="E54" s="204">
        <v>0.95599999999999996</v>
      </c>
      <c r="F54" s="204">
        <v>0.95599999999999996</v>
      </c>
      <c r="G54" s="204">
        <v>0.95599999999999996</v>
      </c>
      <c r="H54" s="204">
        <v>0.95599999999999996</v>
      </c>
      <c r="I54" s="204">
        <v>0.95599999999999996</v>
      </c>
      <c r="J54" s="204">
        <v>0.95599999999999996</v>
      </c>
      <c r="K54" s="204">
        <v>0.95599999999999996</v>
      </c>
      <c r="L54" s="204">
        <v>0.95599999999999996</v>
      </c>
      <c r="M54" s="204">
        <v>0.95599999999999996</v>
      </c>
      <c r="N54" s="204">
        <v>0.95599999999999996</v>
      </c>
      <c r="O54" s="441">
        <f>AVERAGE(C54:N54)</f>
        <v>0.95599999999999963</v>
      </c>
      <c r="P54" s="505">
        <f>O54</f>
        <v>0.95599999999999963</v>
      </c>
    </row>
    <row r="55" spans="1:16" x14ac:dyDescent="0.15">
      <c r="A55" s="207">
        <v>0</v>
      </c>
    </row>
    <row r="56" spans="1:16" x14ac:dyDescent="0.15">
      <c r="A56" s="207"/>
      <c r="B56" s="204" t="s">
        <v>245</v>
      </c>
      <c r="C56" s="204">
        <v>2.802</v>
      </c>
      <c r="D56" s="204">
        <v>2.802</v>
      </c>
      <c r="E56" s="204">
        <v>2.802</v>
      </c>
      <c r="F56" s="204">
        <v>2.802</v>
      </c>
      <c r="G56" s="204">
        <v>2.802</v>
      </c>
      <c r="H56" s="204">
        <v>2.802</v>
      </c>
      <c r="I56" s="204">
        <v>2.802</v>
      </c>
      <c r="J56" s="204">
        <v>2.802</v>
      </c>
      <c r="K56" s="204">
        <v>2.802</v>
      </c>
      <c r="L56" s="204">
        <v>2.802</v>
      </c>
      <c r="M56" s="204">
        <v>2.802</v>
      </c>
      <c r="N56" s="204">
        <v>2.802</v>
      </c>
      <c r="O56" s="441">
        <f>AVERAGE(C56:N56)</f>
        <v>2.802</v>
      </c>
      <c r="P56" s="505">
        <f>O56</f>
        <v>2.802</v>
      </c>
    </row>
    <row r="57" spans="1:16" x14ac:dyDescent="0.15">
      <c r="A57" s="207"/>
    </row>
    <row r="58" spans="1:16" x14ac:dyDescent="0.15">
      <c r="A58" s="207"/>
      <c r="B58" s="205" t="s">
        <v>272</v>
      </c>
    </row>
    <row r="59" spans="1:16" x14ac:dyDescent="0.15">
      <c r="A59" s="207"/>
      <c r="B59" s="204" t="s">
        <v>242</v>
      </c>
      <c r="C59" s="439" t="s">
        <v>792</v>
      </c>
      <c r="D59" s="439" t="s">
        <v>793</v>
      </c>
      <c r="E59" s="439" t="s">
        <v>794</v>
      </c>
      <c r="F59" s="439" t="s">
        <v>783</v>
      </c>
      <c r="G59" s="439" t="s">
        <v>784</v>
      </c>
      <c r="H59" s="439" t="s">
        <v>785</v>
      </c>
      <c r="I59" s="439" t="s">
        <v>786</v>
      </c>
      <c r="J59" s="439" t="s">
        <v>787</v>
      </c>
      <c r="K59" s="439" t="s">
        <v>788</v>
      </c>
      <c r="L59" s="439" t="s">
        <v>789</v>
      </c>
      <c r="M59" s="439" t="s">
        <v>790</v>
      </c>
      <c r="N59" s="439" t="s">
        <v>791</v>
      </c>
    </row>
    <row r="60" spans="1:16" x14ac:dyDescent="0.15">
      <c r="A60" s="207">
        <v>175</v>
      </c>
      <c r="B60" s="204" t="s">
        <v>255</v>
      </c>
      <c r="C60" s="204">
        <v>0.69699999999999995</v>
      </c>
      <c r="D60" s="204">
        <v>0.69699999999999995</v>
      </c>
      <c r="E60" s="204">
        <v>0.69699999999999995</v>
      </c>
      <c r="F60" s="204">
        <v>0.69699999999999995</v>
      </c>
      <c r="G60" s="204">
        <v>0.69699999999999995</v>
      </c>
      <c r="H60" s="204">
        <v>0.69699999999999995</v>
      </c>
      <c r="I60" s="204">
        <v>0.69699999999999995</v>
      </c>
      <c r="J60" s="204">
        <v>0.69699999999999995</v>
      </c>
      <c r="K60" s="204">
        <v>0.69699999999999995</v>
      </c>
      <c r="L60" s="204">
        <v>0.69699999999999995</v>
      </c>
      <c r="M60" s="204">
        <v>0.69699999999999995</v>
      </c>
      <c r="N60" s="204">
        <v>0.69699999999999995</v>
      </c>
      <c r="O60" s="441">
        <f>AVERAGE(C60:N60)</f>
        <v>0.69699999999999995</v>
      </c>
      <c r="P60" s="505">
        <f t="shared" ref="P60:P63" si="1">O60</f>
        <v>0.69699999999999995</v>
      </c>
    </row>
    <row r="61" spans="1:16" x14ac:dyDescent="0.15">
      <c r="A61" s="207">
        <v>225</v>
      </c>
      <c r="B61" s="204" t="s">
        <v>256</v>
      </c>
      <c r="C61" s="204">
        <v>0.82199999999999995</v>
      </c>
      <c r="D61" s="204">
        <v>0.82199999999999995</v>
      </c>
      <c r="E61" s="204">
        <v>0.82199999999999995</v>
      </c>
      <c r="F61" s="204">
        <v>0.82199999999999995</v>
      </c>
      <c r="G61" s="204">
        <v>0.82199999999999995</v>
      </c>
      <c r="H61" s="204">
        <v>0.82199999999999995</v>
      </c>
      <c r="I61" s="204">
        <v>0.82199999999999995</v>
      </c>
      <c r="J61" s="204">
        <v>0.82199999999999995</v>
      </c>
      <c r="K61" s="204">
        <v>0.82199999999999995</v>
      </c>
      <c r="L61" s="204">
        <v>0.82199999999999995</v>
      </c>
      <c r="M61" s="204">
        <v>0.82199999999999995</v>
      </c>
      <c r="N61" s="204">
        <v>0.82199999999999995</v>
      </c>
      <c r="O61" s="441">
        <f>AVERAGE(C61:N61)</f>
        <v>0.82199999999999973</v>
      </c>
      <c r="P61" s="505">
        <f t="shared" si="1"/>
        <v>0.82199999999999973</v>
      </c>
    </row>
    <row r="62" spans="1:16" x14ac:dyDescent="0.15">
      <c r="A62" s="207">
        <v>200</v>
      </c>
      <c r="B62" s="204" t="s">
        <v>257</v>
      </c>
      <c r="C62" s="204">
        <v>1.05</v>
      </c>
      <c r="D62" s="204">
        <v>1.05</v>
      </c>
      <c r="E62" s="204">
        <v>1.05</v>
      </c>
      <c r="F62" s="204">
        <v>1.05</v>
      </c>
      <c r="G62" s="204">
        <v>1.05</v>
      </c>
      <c r="H62" s="204">
        <v>1.05</v>
      </c>
      <c r="I62" s="204">
        <v>1.05</v>
      </c>
      <c r="J62" s="204">
        <v>1.05</v>
      </c>
      <c r="K62" s="204">
        <v>1.05</v>
      </c>
      <c r="L62" s="204">
        <v>1.05</v>
      </c>
      <c r="M62" s="204">
        <v>1.05</v>
      </c>
      <c r="N62" s="204">
        <v>1.05</v>
      </c>
      <c r="O62" s="441">
        <f>AVERAGE(C62:N62)</f>
        <v>1.0500000000000003</v>
      </c>
      <c r="P62" s="505">
        <f t="shared" si="1"/>
        <v>1.0500000000000003</v>
      </c>
    </row>
    <row r="63" spans="1:16" x14ac:dyDescent="0.15">
      <c r="A63" s="207"/>
      <c r="B63" s="204" t="s">
        <v>245</v>
      </c>
      <c r="C63" s="204">
        <v>2.802</v>
      </c>
      <c r="D63" s="204">
        <v>2.802</v>
      </c>
      <c r="E63" s="204">
        <v>2.802</v>
      </c>
      <c r="F63" s="204">
        <v>2.802</v>
      </c>
      <c r="G63" s="204">
        <v>2.802</v>
      </c>
      <c r="H63" s="204">
        <v>2.802</v>
      </c>
      <c r="I63" s="204">
        <v>2.802</v>
      </c>
      <c r="J63" s="204">
        <v>2.802</v>
      </c>
      <c r="K63" s="204">
        <v>2.802</v>
      </c>
      <c r="L63" s="204">
        <v>2.802</v>
      </c>
      <c r="M63" s="204">
        <v>2.802</v>
      </c>
      <c r="N63" s="204">
        <v>2.802</v>
      </c>
      <c r="O63" s="441">
        <f>AVERAGE(C63:N63)</f>
        <v>2.802</v>
      </c>
      <c r="P63" s="505">
        <f t="shared" si="1"/>
        <v>2.802</v>
      </c>
    </row>
    <row r="64" spans="1:16" x14ac:dyDescent="0.15">
      <c r="A64" s="207"/>
    </row>
    <row r="65" spans="1:16" x14ac:dyDescent="0.15">
      <c r="A65" s="207"/>
      <c r="B65" s="205" t="s">
        <v>278</v>
      </c>
    </row>
    <row r="66" spans="1:16" x14ac:dyDescent="0.15">
      <c r="A66" s="207"/>
      <c r="B66" s="204" t="s">
        <v>242</v>
      </c>
      <c r="C66" s="439" t="s">
        <v>792</v>
      </c>
      <c r="D66" s="439" t="s">
        <v>793</v>
      </c>
      <c r="E66" s="439" t="s">
        <v>794</v>
      </c>
      <c r="F66" s="439" t="s">
        <v>783</v>
      </c>
      <c r="G66" s="439" t="s">
        <v>784</v>
      </c>
      <c r="H66" s="439" t="s">
        <v>785</v>
      </c>
      <c r="I66" s="439" t="s">
        <v>786</v>
      </c>
      <c r="J66" s="439" t="s">
        <v>787</v>
      </c>
      <c r="K66" s="439" t="s">
        <v>788</v>
      </c>
      <c r="L66" s="439" t="s">
        <v>789</v>
      </c>
      <c r="M66" s="439" t="s">
        <v>790</v>
      </c>
      <c r="N66" s="439" t="s">
        <v>791</v>
      </c>
    </row>
    <row r="67" spans="1:16" x14ac:dyDescent="0.15">
      <c r="A67" s="207">
        <v>75</v>
      </c>
      <c r="B67" s="204" t="s">
        <v>243</v>
      </c>
      <c r="C67" s="204">
        <v>0.79300000000000004</v>
      </c>
      <c r="D67" s="204">
        <v>0.79300000000000004</v>
      </c>
      <c r="E67" s="204">
        <v>0.79300000000000004</v>
      </c>
      <c r="F67" s="204">
        <v>0.79300000000000004</v>
      </c>
      <c r="G67" s="204">
        <v>0.79300000000000004</v>
      </c>
      <c r="H67" s="204">
        <v>0.79300000000000004</v>
      </c>
      <c r="I67" s="204">
        <v>0.79300000000000004</v>
      </c>
      <c r="J67" s="204">
        <v>0.79300000000000004</v>
      </c>
      <c r="K67" s="204">
        <v>0.79300000000000004</v>
      </c>
      <c r="L67" s="204">
        <v>0.79300000000000004</v>
      </c>
      <c r="M67" s="204">
        <v>0.79300000000000004</v>
      </c>
      <c r="N67" s="204">
        <v>0.79300000000000004</v>
      </c>
      <c r="O67" s="441">
        <f>AVERAGE(C67:N67)</f>
        <v>0.79300000000000004</v>
      </c>
      <c r="P67" s="505">
        <f>O67</f>
        <v>0.79300000000000004</v>
      </c>
    </row>
    <row r="68" spans="1:16" x14ac:dyDescent="0.15">
      <c r="A68" s="207">
        <v>125</v>
      </c>
      <c r="B68" s="204" t="s">
        <v>258</v>
      </c>
      <c r="C68" s="204">
        <v>0.95599999999999996</v>
      </c>
      <c r="D68" s="204">
        <v>0.95599999999999996</v>
      </c>
      <c r="E68" s="204">
        <v>0.95599999999999996</v>
      </c>
      <c r="F68" s="204">
        <v>0.95599999999999996</v>
      </c>
      <c r="G68" s="204">
        <v>0.95599999999999996</v>
      </c>
      <c r="H68" s="204">
        <v>0.95599999999999996</v>
      </c>
      <c r="I68" s="204">
        <v>0.95599999999999996</v>
      </c>
      <c r="J68" s="204">
        <v>0.95599999999999996</v>
      </c>
      <c r="K68" s="204">
        <v>0.95599999999999996</v>
      </c>
      <c r="L68" s="204">
        <v>0.95599999999999996</v>
      </c>
      <c r="M68" s="204">
        <v>0.95599999999999996</v>
      </c>
      <c r="N68" s="204">
        <v>0.95599999999999996</v>
      </c>
      <c r="O68" s="441">
        <f>AVERAGE(C68:N68)</f>
        <v>0.95599999999999963</v>
      </c>
      <c r="P68" s="505">
        <f>O68</f>
        <v>0.95599999999999963</v>
      </c>
    </row>
    <row r="69" spans="1:16" x14ac:dyDescent="0.15">
      <c r="A69" s="207">
        <v>0</v>
      </c>
    </row>
    <row r="70" spans="1:16" x14ac:dyDescent="0.15">
      <c r="A70" s="207"/>
      <c r="B70" s="204" t="s">
        <v>245</v>
      </c>
      <c r="C70" s="204">
        <v>2.802</v>
      </c>
      <c r="D70" s="204">
        <v>2.802</v>
      </c>
      <c r="E70" s="204">
        <v>2.802</v>
      </c>
      <c r="F70" s="204">
        <v>2.802</v>
      </c>
      <c r="G70" s="204">
        <v>2.802</v>
      </c>
      <c r="H70" s="204">
        <v>2.802</v>
      </c>
      <c r="I70" s="204">
        <v>2.802</v>
      </c>
      <c r="J70" s="204">
        <v>2.802</v>
      </c>
      <c r="K70" s="204">
        <v>2.802</v>
      </c>
      <c r="L70" s="204">
        <v>2.802</v>
      </c>
      <c r="M70" s="204">
        <v>2.802</v>
      </c>
      <c r="N70" s="204">
        <v>2.802</v>
      </c>
      <c r="O70" s="441">
        <f>AVERAGE(C70:N70)</f>
        <v>2.802</v>
      </c>
      <c r="P70" s="505">
        <f>O70</f>
        <v>2.802</v>
      </c>
    </row>
    <row r="71" spans="1:16" x14ac:dyDescent="0.15">
      <c r="A71" s="207"/>
    </row>
    <row r="72" spans="1:16" x14ac:dyDescent="0.15">
      <c r="A72" s="207"/>
      <c r="B72" s="205" t="s">
        <v>271</v>
      </c>
    </row>
    <row r="73" spans="1:16" x14ac:dyDescent="0.15">
      <c r="A73" s="207"/>
      <c r="B73" s="204" t="s">
        <v>242</v>
      </c>
      <c r="C73" s="439" t="s">
        <v>792</v>
      </c>
      <c r="D73" s="439" t="s">
        <v>793</v>
      </c>
      <c r="E73" s="439" t="s">
        <v>794</v>
      </c>
      <c r="F73" s="439" t="s">
        <v>783</v>
      </c>
      <c r="G73" s="439" t="s">
        <v>784</v>
      </c>
      <c r="H73" s="439" t="s">
        <v>785</v>
      </c>
      <c r="I73" s="439" t="s">
        <v>786</v>
      </c>
      <c r="J73" s="439" t="s">
        <v>787</v>
      </c>
      <c r="K73" s="439" t="s">
        <v>788</v>
      </c>
      <c r="L73" s="439" t="s">
        <v>789</v>
      </c>
      <c r="M73" s="439" t="s">
        <v>790</v>
      </c>
      <c r="N73" s="439" t="s">
        <v>791</v>
      </c>
    </row>
    <row r="74" spans="1:16" x14ac:dyDescent="0.15">
      <c r="A74" s="207">
        <v>300</v>
      </c>
      <c r="B74" s="204" t="s">
        <v>259</v>
      </c>
      <c r="C74" s="204">
        <v>0.58299999999999996</v>
      </c>
      <c r="D74" s="204">
        <v>0.58299999999999996</v>
      </c>
      <c r="E74" s="204">
        <v>0.58299999999999996</v>
      </c>
      <c r="F74" s="204">
        <v>0.58299999999999996</v>
      </c>
      <c r="G74" s="204">
        <v>0.58299999999999996</v>
      </c>
      <c r="H74" s="204">
        <v>0.58299999999999996</v>
      </c>
      <c r="I74" s="204">
        <v>0.58299999999999996</v>
      </c>
      <c r="J74" s="204">
        <v>0.58299999999999996</v>
      </c>
      <c r="K74" s="204">
        <v>0.58299999999999996</v>
      </c>
      <c r="L74" s="204">
        <v>0.58299999999999996</v>
      </c>
      <c r="M74" s="204">
        <v>0.58299999999999996</v>
      </c>
      <c r="N74" s="204">
        <v>0.58299999999999996</v>
      </c>
      <c r="O74" s="441">
        <f>AVERAGE(C74:N74)</f>
        <v>0.58300000000000007</v>
      </c>
      <c r="P74" s="505">
        <f>O74</f>
        <v>0.58300000000000007</v>
      </c>
    </row>
    <row r="75" spans="1:16" x14ac:dyDescent="0.15">
      <c r="A75" s="207">
        <v>450</v>
      </c>
      <c r="B75" s="204" t="s">
        <v>260</v>
      </c>
      <c r="C75" s="204">
        <v>0.72599999999999998</v>
      </c>
      <c r="D75" s="204">
        <v>0.72599999999999998</v>
      </c>
      <c r="E75" s="204">
        <v>0.72599999999999998</v>
      </c>
      <c r="F75" s="204">
        <v>0.72599999999999998</v>
      </c>
      <c r="G75" s="204">
        <v>0.72599999999999998</v>
      </c>
      <c r="H75" s="204">
        <v>0.72599999999999998</v>
      </c>
      <c r="I75" s="204">
        <v>0.72599999999999998</v>
      </c>
      <c r="J75" s="204">
        <v>0.72599999999999998</v>
      </c>
      <c r="K75" s="204">
        <v>0.72599999999999998</v>
      </c>
      <c r="L75" s="204">
        <v>0.72599999999999998</v>
      </c>
      <c r="M75" s="204">
        <v>0.72599999999999998</v>
      </c>
      <c r="N75" s="204">
        <v>0.72599999999999998</v>
      </c>
      <c r="O75" s="441">
        <f>AVERAGE(C75:N75)</f>
        <v>0.72599999999999998</v>
      </c>
      <c r="P75" s="505">
        <f>O75</f>
        <v>0.72599999999999998</v>
      </c>
    </row>
    <row r="76" spans="1:16" x14ac:dyDescent="0.15">
      <c r="A76" s="207">
        <v>150</v>
      </c>
      <c r="B76" s="204" t="s">
        <v>261</v>
      </c>
      <c r="C76" s="204">
        <v>0.94799999999999995</v>
      </c>
      <c r="D76" s="204">
        <v>0.94799999999999995</v>
      </c>
      <c r="E76" s="204">
        <v>0.94799999999999995</v>
      </c>
      <c r="F76" s="204">
        <v>0.94799999999999995</v>
      </c>
      <c r="G76" s="204">
        <v>0.94799999999999995</v>
      </c>
      <c r="H76" s="204">
        <v>0.94799999999999995</v>
      </c>
      <c r="I76" s="204">
        <v>0.94799999999999995</v>
      </c>
      <c r="J76" s="204">
        <v>0.94799999999999995</v>
      </c>
      <c r="K76" s="204">
        <v>0.94799999999999995</v>
      </c>
      <c r="L76" s="204">
        <v>0.94799999999999995</v>
      </c>
      <c r="M76" s="204">
        <v>0.94799999999999995</v>
      </c>
      <c r="N76" s="204">
        <v>0.94799999999999995</v>
      </c>
      <c r="O76" s="441">
        <f>AVERAGE(C76:N76)</f>
        <v>0.94800000000000029</v>
      </c>
      <c r="P76" s="505">
        <f>O76</f>
        <v>0.94800000000000029</v>
      </c>
    </row>
    <row r="77" spans="1:16" x14ac:dyDescent="0.15">
      <c r="A77" s="207"/>
      <c r="B77" s="204" t="s">
        <v>245</v>
      </c>
      <c r="C77" s="204">
        <v>2.802</v>
      </c>
      <c r="D77" s="204">
        <v>2.802</v>
      </c>
      <c r="E77" s="204">
        <v>2.802</v>
      </c>
      <c r="F77" s="204">
        <v>2.802</v>
      </c>
      <c r="G77" s="204">
        <v>2.802</v>
      </c>
      <c r="H77" s="204">
        <v>2.802</v>
      </c>
      <c r="I77" s="204">
        <v>2.802</v>
      </c>
      <c r="J77" s="204">
        <v>2.802</v>
      </c>
      <c r="K77" s="204">
        <v>2.802</v>
      </c>
      <c r="L77" s="204">
        <v>2.802</v>
      </c>
      <c r="M77" s="204">
        <v>2.802</v>
      </c>
      <c r="N77" s="204">
        <v>2.802</v>
      </c>
      <c r="O77" s="441">
        <f>AVERAGE(C77:N77)</f>
        <v>2.802</v>
      </c>
      <c r="P77" s="505">
        <f>O77</f>
        <v>2.802</v>
      </c>
    </row>
    <row r="78" spans="1:16" x14ac:dyDescent="0.15">
      <c r="A78" s="207"/>
    </row>
    <row r="79" spans="1:16" x14ac:dyDescent="0.15">
      <c r="A79" s="207"/>
      <c r="B79" s="205" t="s">
        <v>277</v>
      </c>
    </row>
    <row r="80" spans="1:16" x14ac:dyDescent="0.15">
      <c r="A80" s="207"/>
      <c r="B80" s="204" t="s">
        <v>242</v>
      </c>
      <c r="C80" s="439" t="s">
        <v>792</v>
      </c>
      <c r="D80" s="439" t="s">
        <v>793</v>
      </c>
      <c r="E80" s="439" t="s">
        <v>794</v>
      </c>
      <c r="F80" s="439" t="s">
        <v>783</v>
      </c>
      <c r="G80" s="439" t="s">
        <v>784</v>
      </c>
      <c r="H80" s="439" t="s">
        <v>785</v>
      </c>
      <c r="I80" s="439" t="s">
        <v>786</v>
      </c>
      <c r="J80" s="439" t="s">
        <v>787</v>
      </c>
      <c r="K80" s="439" t="s">
        <v>788</v>
      </c>
      <c r="L80" s="439" t="s">
        <v>789</v>
      </c>
      <c r="M80" s="439" t="s">
        <v>790</v>
      </c>
      <c r="N80" s="439" t="s">
        <v>791</v>
      </c>
    </row>
    <row r="81" spans="1:16" x14ac:dyDescent="0.15">
      <c r="A81" s="207">
        <v>75</v>
      </c>
      <c r="B81" s="204" t="s">
        <v>243</v>
      </c>
      <c r="C81" s="204">
        <v>0.79300000000000004</v>
      </c>
      <c r="D81" s="204">
        <v>0.79300000000000004</v>
      </c>
      <c r="E81" s="204">
        <v>0.79300000000000004</v>
      </c>
      <c r="F81" s="204">
        <v>0.79300000000000004</v>
      </c>
      <c r="G81" s="204">
        <v>0.79300000000000004</v>
      </c>
      <c r="H81" s="204">
        <v>0.79300000000000004</v>
      </c>
      <c r="I81" s="204">
        <v>0.79300000000000004</v>
      </c>
      <c r="J81" s="204">
        <v>0.79300000000000004</v>
      </c>
      <c r="K81" s="204">
        <v>0.79300000000000004</v>
      </c>
      <c r="L81" s="204">
        <v>0.79300000000000004</v>
      </c>
      <c r="M81" s="204">
        <v>0.79300000000000004</v>
      </c>
      <c r="N81" s="204">
        <v>0.79300000000000004</v>
      </c>
      <c r="O81" s="441">
        <f>AVERAGE(C81:N81)</f>
        <v>0.79300000000000004</v>
      </c>
      <c r="P81" s="505">
        <f>O81</f>
        <v>0.79300000000000004</v>
      </c>
    </row>
    <row r="82" spans="1:16" x14ac:dyDescent="0.15">
      <c r="A82" s="207">
        <v>125</v>
      </c>
      <c r="B82" s="204" t="s">
        <v>258</v>
      </c>
      <c r="C82" s="204">
        <v>0.95599999999999996</v>
      </c>
      <c r="D82" s="204">
        <v>0.95599999999999996</v>
      </c>
      <c r="E82" s="204">
        <v>0.95599999999999996</v>
      </c>
      <c r="F82" s="204">
        <v>0.95599999999999996</v>
      </c>
      <c r="G82" s="204">
        <v>0.95599999999999996</v>
      </c>
      <c r="H82" s="204">
        <v>0.95599999999999996</v>
      </c>
      <c r="I82" s="204">
        <v>0.95599999999999996</v>
      </c>
      <c r="J82" s="204">
        <v>0.95599999999999996</v>
      </c>
      <c r="K82" s="204">
        <v>0.95599999999999996</v>
      </c>
      <c r="L82" s="204">
        <v>0.95599999999999996</v>
      </c>
      <c r="M82" s="204">
        <v>0.95599999999999996</v>
      </c>
      <c r="N82" s="204">
        <v>0.95599999999999996</v>
      </c>
      <c r="O82" s="441">
        <f>AVERAGE(C82:N82)</f>
        <v>0.95599999999999963</v>
      </c>
      <c r="P82" s="505">
        <f>O82</f>
        <v>0.95599999999999963</v>
      </c>
    </row>
    <row r="83" spans="1:16" x14ac:dyDescent="0.15">
      <c r="A83" s="207">
        <v>0</v>
      </c>
    </row>
    <row r="84" spans="1:16" x14ac:dyDescent="0.15">
      <c r="A84" s="207"/>
      <c r="B84" s="204" t="s">
        <v>245</v>
      </c>
      <c r="C84" s="204">
        <v>2.802</v>
      </c>
      <c r="D84" s="204">
        <v>2.802</v>
      </c>
      <c r="E84" s="204">
        <v>2.802</v>
      </c>
      <c r="F84" s="204">
        <v>2.802</v>
      </c>
      <c r="G84" s="204">
        <v>2.802</v>
      </c>
      <c r="H84" s="204">
        <v>2.802</v>
      </c>
      <c r="I84" s="204">
        <v>2.802</v>
      </c>
      <c r="J84" s="204">
        <v>2.802</v>
      </c>
      <c r="K84" s="204">
        <v>2.802</v>
      </c>
      <c r="L84" s="204">
        <v>2.802</v>
      </c>
      <c r="M84" s="204">
        <v>2.802</v>
      </c>
      <c r="N84" s="204">
        <v>2.802</v>
      </c>
      <c r="O84" s="441">
        <f>AVERAGE(C84:N84)</f>
        <v>2.802</v>
      </c>
      <c r="P84" s="505">
        <f>O84</f>
        <v>2.802</v>
      </c>
    </row>
    <row r="85" spans="1:16" x14ac:dyDescent="0.15">
      <c r="A85" s="207"/>
    </row>
    <row r="86" spans="1:16" x14ac:dyDescent="0.15">
      <c r="A86" s="207"/>
      <c r="B86" s="205" t="s">
        <v>273</v>
      </c>
    </row>
    <row r="87" spans="1:16" x14ac:dyDescent="0.15">
      <c r="A87" s="207"/>
      <c r="B87" s="204" t="s">
        <v>242</v>
      </c>
      <c r="C87" s="439" t="s">
        <v>792</v>
      </c>
      <c r="D87" s="439" t="s">
        <v>793</v>
      </c>
      <c r="E87" s="439" t="s">
        <v>794</v>
      </c>
      <c r="F87" s="439" t="s">
        <v>783</v>
      </c>
      <c r="G87" s="439" t="s">
        <v>784</v>
      </c>
      <c r="H87" s="439" t="s">
        <v>785</v>
      </c>
      <c r="I87" s="439" t="s">
        <v>786</v>
      </c>
      <c r="J87" s="439" t="s">
        <v>787</v>
      </c>
      <c r="K87" s="439" t="s">
        <v>788</v>
      </c>
      <c r="L87" s="439" t="s">
        <v>789</v>
      </c>
      <c r="M87" s="439" t="s">
        <v>790</v>
      </c>
      <c r="N87" s="439" t="s">
        <v>791</v>
      </c>
    </row>
    <row r="88" spans="1:16" x14ac:dyDescent="0.15">
      <c r="A88" s="207">
        <v>300</v>
      </c>
      <c r="B88" s="204" t="s">
        <v>259</v>
      </c>
      <c r="C88" s="204">
        <v>0.58299999999999996</v>
      </c>
      <c r="D88" s="204">
        <v>0.58299999999999996</v>
      </c>
      <c r="E88" s="204">
        <v>0.58299999999999996</v>
      </c>
      <c r="F88" s="204">
        <v>0.58299999999999996</v>
      </c>
      <c r="G88" s="204">
        <v>0.58299999999999996</v>
      </c>
      <c r="H88" s="204">
        <v>0.58299999999999996</v>
      </c>
      <c r="I88" s="204">
        <v>0.58299999999999996</v>
      </c>
      <c r="J88" s="204">
        <v>0.58299999999999996</v>
      </c>
      <c r="K88" s="204">
        <v>0.58299999999999996</v>
      </c>
      <c r="L88" s="204">
        <v>0.58299999999999996</v>
      </c>
      <c r="M88" s="204">
        <v>0.58299999999999996</v>
      </c>
      <c r="N88" s="204">
        <v>0.58299999999999996</v>
      </c>
      <c r="O88" s="441">
        <f>AVERAGE(C88:N88)</f>
        <v>0.58300000000000007</v>
      </c>
      <c r="P88" s="505">
        <f>O88</f>
        <v>0.58300000000000007</v>
      </c>
    </row>
    <row r="89" spans="1:16" x14ac:dyDescent="0.15">
      <c r="A89" s="207">
        <v>900</v>
      </c>
      <c r="B89" s="204" t="s">
        <v>262</v>
      </c>
      <c r="C89" s="204">
        <v>0.72599999999999998</v>
      </c>
      <c r="D89" s="204">
        <v>0.72599999999999998</v>
      </c>
      <c r="E89" s="204">
        <v>0.72599999999999998</v>
      </c>
      <c r="F89" s="204">
        <v>0.72599999999999998</v>
      </c>
      <c r="G89" s="204">
        <v>0.72599999999999998</v>
      </c>
      <c r="H89" s="204">
        <v>0.72599999999999998</v>
      </c>
      <c r="I89" s="204">
        <v>0.72599999999999998</v>
      </c>
      <c r="J89" s="204">
        <v>0.72599999999999998</v>
      </c>
      <c r="K89" s="204">
        <v>0.72599999999999998</v>
      </c>
      <c r="L89" s="204">
        <v>0.72599999999999998</v>
      </c>
      <c r="M89" s="204">
        <v>0.72599999999999998</v>
      </c>
      <c r="N89" s="204">
        <v>0.72599999999999998</v>
      </c>
      <c r="O89" s="441">
        <f>AVERAGE(C89:N89)</f>
        <v>0.72599999999999998</v>
      </c>
      <c r="P89" s="505">
        <f>O89</f>
        <v>0.72599999999999998</v>
      </c>
    </row>
    <row r="90" spans="1:16" x14ac:dyDescent="0.15">
      <c r="A90" s="207">
        <v>1300</v>
      </c>
      <c r="B90" s="204" t="s">
        <v>264</v>
      </c>
      <c r="C90" s="204">
        <v>1.768</v>
      </c>
      <c r="D90" s="204">
        <v>1.768</v>
      </c>
      <c r="E90" s="204">
        <v>1.768</v>
      </c>
      <c r="F90" s="204">
        <v>1.768</v>
      </c>
      <c r="G90" s="204">
        <v>1.768</v>
      </c>
      <c r="H90" s="204">
        <v>1.768</v>
      </c>
      <c r="I90" s="204">
        <v>1.768</v>
      </c>
      <c r="J90" s="204">
        <v>1.768</v>
      </c>
      <c r="K90" s="204">
        <v>1.768</v>
      </c>
      <c r="L90" s="204">
        <v>1.768</v>
      </c>
      <c r="M90" s="204">
        <v>1.768</v>
      </c>
      <c r="N90" s="204">
        <v>1.768</v>
      </c>
      <c r="O90" s="441">
        <f>AVERAGE(C90:N90)</f>
        <v>1.7680000000000005</v>
      </c>
      <c r="P90" s="505">
        <f>O90</f>
        <v>1.7680000000000005</v>
      </c>
    </row>
    <row r="91" spans="1:16" x14ac:dyDescent="0.15">
      <c r="A91" s="207"/>
      <c r="B91" s="204" t="s">
        <v>245</v>
      </c>
      <c r="C91" s="204">
        <v>2.802</v>
      </c>
      <c r="D91" s="204">
        <v>2.802</v>
      </c>
      <c r="E91" s="204">
        <v>2.802</v>
      </c>
      <c r="F91" s="204">
        <v>2.802</v>
      </c>
      <c r="G91" s="204">
        <v>2.802</v>
      </c>
      <c r="H91" s="204">
        <v>2.802</v>
      </c>
      <c r="I91" s="204">
        <v>2.802</v>
      </c>
      <c r="J91" s="204">
        <v>2.802</v>
      </c>
      <c r="K91" s="204">
        <v>2.802</v>
      </c>
      <c r="L91" s="204">
        <v>2.802</v>
      </c>
      <c r="M91" s="204">
        <v>2.802</v>
      </c>
      <c r="N91" s="204">
        <v>2.802</v>
      </c>
      <c r="O91" s="441">
        <f>AVERAGE(C91:N91)</f>
        <v>2.802</v>
      </c>
      <c r="P91" s="505">
        <f>O91</f>
        <v>2.802</v>
      </c>
    </row>
    <row r="92" spans="1:16" x14ac:dyDescent="0.15">
      <c r="A92" s="207"/>
    </row>
    <row r="93" spans="1:16" x14ac:dyDescent="0.15">
      <c r="A93" s="207"/>
      <c r="B93" s="205" t="s">
        <v>276</v>
      </c>
    </row>
    <row r="94" spans="1:16" x14ac:dyDescent="0.15">
      <c r="A94" s="207"/>
      <c r="B94" s="204" t="s">
        <v>242</v>
      </c>
      <c r="C94" s="439" t="s">
        <v>792</v>
      </c>
      <c r="D94" s="439" t="s">
        <v>793</v>
      </c>
      <c r="E94" s="439" t="s">
        <v>794</v>
      </c>
      <c r="F94" s="439" t="s">
        <v>783</v>
      </c>
      <c r="G94" s="439" t="s">
        <v>784</v>
      </c>
      <c r="H94" s="439" t="s">
        <v>785</v>
      </c>
      <c r="I94" s="439" t="s">
        <v>786</v>
      </c>
      <c r="J94" s="439" t="s">
        <v>787</v>
      </c>
      <c r="K94" s="439" t="s">
        <v>788</v>
      </c>
      <c r="L94" s="439" t="s">
        <v>789</v>
      </c>
      <c r="M94" s="439" t="s">
        <v>790</v>
      </c>
      <c r="N94" s="439" t="s">
        <v>791</v>
      </c>
    </row>
    <row r="95" spans="1:16" x14ac:dyDescent="0.15">
      <c r="A95" s="207">
        <v>75</v>
      </c>
      <c r="B95" s="204" t="s">
        <v>265</v>
      </c>
      <c r="C95" s="204">
        <v>0.79300000000000004</v>
      </c>
      <c r="D95" s="204">
        <v>0.79300000000000004</v>
      </c>
      <c r="E95" s="204">
        <v>0.79300000000000004</v>
      </c>
      <c r="F95" s="204">
        <v>0.79300000000000004</v>
      </c>
      <c r="G95" s="204">
        <v>0.79300000000000004</v>
      </c>
      <c r="H95" s="204">
        <v>0.79300000000000004</v>
      </c>
      <c r="I95" s="204">
        <v>0.79300000000000004</v>
      </c>
      <c r="J95" s="204">
        <v>0.79300000000000004</v>
      </c>
      <c r="K95" s="204">
        <v>0.79300000000000004</v>
      </c>
      <c r="L95" s="204">
        <v>0.79300000000000004</v>
      </c>
      <c r="M95" s="204">
        <v>0.79300000000000004</v>
      </c>
      <c r="N95" s="204">
        <v>0.79300000000000004</v>
      </c>
      <c r="O95" s="441">
        <f>AVERAGE(C95:N95)</f>
        <v>0.79300000000000004</v>
      </c>
      <c r="P95" s="505">
        <f>O95</f>
        <v>0.79300000000000004</v>
      </c>
    </row>
    <row r="96" spans="1:16" x14ac:dyDescent="0.15">
      <c r="A96" s="207">
        <v>125</v>
      </c>
      <c r="B96" s="204" t="s">
        <v>258</v>
      </c>
      <c r="C96" s="204">
        <v>0.95599999999999996</v>
      </c>
      <c r="D96" s="204">
        <v>0.95599999999999996</v>
      </c>
      <c r="E96" s="204">
        <v>0.95599999999999996</v>
      </c>
      <c r="F96" s="204">
        <v>0.95599999999999996</v>
      </c>
      <c r="G96" s="204">
        <v>0.95599999999999996</v>
      </c>
      <c r="H96" s="204">
        <v>0.95599999999999996</v>
      </c>
      <c r="I96" s="204">
        <v>0.95599999999999996</v>
      </c>
      <c r="J96" s="204">
        <v>0.95599999999999996</v>
      </c>
      <c r="K96" s="204">
        <v>0.95599999999999996</v>
      </c>
      <c r="L96" s="204">
        <v>0.95599999999999996</v>
      </c>
      <c r="M96" s="204">
        <v>0.95599999999999996</v>
      </c>
      <c r="N96" s="204">
        <v>0.95599999999999996</v>
      </c>
      <c r="O96" s="441">
        <f>AVERAGE(C96:N96)</f>
        <v>0.95599999999999963</v>
      </c>
      <c r="P96" s="505">
        <f>O96</f>
        <v>0.95599999999999963</v>
      </c>
    </row>
    <row r="97" spans="1:16" x14ac:dyDescent="0.15">
      <c r="A97" s="207">
        <v>0</v>
      </c>
    </row>
    <row r="98" spans="1:16" x14ac:dyDescent="0.15">
      <c r="A98" s="207"/>
      <c r="B98" s="204" t="s">
        <v>245</v>
      </c>
      <c r="C98" s="204">
        <v>2.802</v>
      </c>
      <c r="D98" s="204">
        <v>2.802</v>
      </c>
      <c r="E98" s="204">
        <v>2.802</v>
      </c>
      <c r="F98" s="204">
        <v>2.802</v>
      </c>
      <c r="G98" s="204">
        <v>2.802</v>
      </c>
      <c r="H98" s="204">
        <v>2.802</v>
      </c>
      <c r="I98" s="204">
        <v>2.802</v>
      </c>
      <c r="J98" s="204">
        <v>2.802</v>
      </c>
      <c r="K98" s="204">
        <v>2.802</v>
      </c>
      <c r="L98" s="204">
        <v>2.802</v>
      </c>
      <c r="M98" s="204">
        <v>2.802</v>
      </c>
      <c r="N98" s="204">
        <v>2.802</v>
      </c>
      <c r="O98" s="441">
        <f>AVERAGE(C98:N98)</f>
        <v>2.802</v>
      </c>
      <c r="P98" s="505">
        <f>O98</f>
        <v>2.802</v>
      </c>
    </row>
  </sheetData>
  <hyperlinks>
    <hyperlink ref="A1" r:id="rId1"/>
  </hyperlinks>
  <pageMargins left="0.7" right="0.7" top="0.75" bottom="0.75" header="0.3" footer="0.3"/>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R2188"/>
  <sheetViews>
    <sheetView workbookViewId="0">
      <pane ySplit="1" topLeftCell="A2" activePane="bottomLeft" state="frozen"/>
      <selection sqref="A1:H8"/>
      <selection pane="bottomLeft" activeCell="A2" sqref="A2"/>
    </sheetView>
  </sheetViews>
  <sheetFormatPr defaultRowHeight="10.5" x14ac:dyDescent="0.15"/>
  <cols>
    <col min="1" max="1" width="45.28515625" style="179" bestFit="1" customWidth="1"/>
    <col min="2" max="2" width="21.7109375" style="179" bestFit="1" customWidth="1"/>
    <col min="3" max="3" width="3.42578125" style="179" bestFit="1" customWidth="1"/>
    <col min="4" max="4" width="7.5703125" style="179" bestFit="1" customWidth="1"/>
    <col min="5" max="16" width="5" style="179" bestFit="1" customWidth="1"/>
    <col min="17" max="17" width="12" style="179" bestFit="1" customWidth="1"/>
    <col min="18" max="18" width="17.5703125" style="179" bestFit="1" customWidth="1"/>
    <col min="19" max="16384" width="9.140625" style="179"/>
  </cols>
  <sheetData>
    <row r="1" spans="1:18" x14ac:dyDescent="0.15">
      <c r="A1" s="179" t="s">
        <v>867</v>
      </c>
      <c r="B1" s="429" t="s">
        <v>23</v>
      </c>
      <c r="C1" s="429" t="s">
        <v>861</v>
      </c>
      <c r="D1" s="429" t="s">
        <v>862</v>
      </c>
      <c r="E1" s="430" t="s">
        <v>783</v>
      </c>
      <c r="F1" s="430" t="s">
        <v>784</v>
      </c>
      <c r="G1" s="430" t="s">
        <v>785</v>
      </c>
      <c r="H1" s="430" t="s">
        <v>786</v>
      </c>
      <c r="I1" s="430" t="s">
        <v>787</v>
      </c>
      <c r="J1" s="430" t="s">
        <v>788</v>
      </c>
      <c r="K1" s="430" t="s">
        <v>789</v>
      </c>
      <c r="L1" s="430" t="s">
        <v>790</v>
      </c>
      <c r="M1" s="430" t="s">
        <v>791</v>
      </c>
      <c r="N1" s="430" t="s">
        <v>792</v>
      </c>
      <c r="O1" s="430" t="s">
        <v>793</v>
      </c>
      <c r="P1" s="430" t="s">
        <v>794</v>
      </c>
      <c r="Q1" s="179" t="s">
        <v>851</v>
      </c>
      <c r="R1" s="179" t="s">
        <v>1012</v>
      </c>
    </row>
    <row r="2" spans="1:18" x14ac:dyDescent="0.15">
      <c r="A2" s="179" t="str">
        <f t="shared" ref="A2:A193" si="0">B2&amp;"_"&amp;R2&amp;"_"&amp;D2</f>
        <v>Acapulco de Juarez_Flat Surface_90</v>
      </c>
      <c r="B2" s="501" t="s">
        <v>1117</v>
      </c>
      <c r="C2" s="429">
        <v>0</v>
      </c>
      <c r="D2" s="429">
        <v>90</v>
      </c>
      <c r="E2" s="431">
        <v>5.45</v>
      </c>
      <c r="F2" s="431">
        <v>6.27</v>
      </c>
      <c r="G2" s="431">
        <v>7.09</v>
      </c>
      <c r="H2" s="431">
        <v>7.24</v>
      </c>
      <c r="I2" s="431">
        <v>6.76</v>
      </c>
      <c r="J2" s="431">
        <v>6.03</v>
      </c>
      <c r="K2" s="431">
        <v>6.27</v>
      </c>
      <c r="L2" s="431">
        <v>5.99</v>
      </c>
      <c r="M2" s="431">
        <v>5.31</v>
      </c>
      <c r="N2" s="431">
        <v>5.69</v>
      </c>
      <c r="O2" s="431">
        <v>5.52</v>
      </c>
      <c r="P2" s="431">
        <v>5.14</v>
      </c>
      <c r="Q2" s="179">
        <f t="shared" ref="Q2:Q65" si="1">AVERAGE(E2:P2)</f>
        <v>6.0633333333333335</v>
      </c>
      <c r="R2" s="179" t="s">
        <v>994</v>
      </c>
    </row>
    <row r="3" spans="1:18" x14ac:dyDescent="0.15">
      <c r="A3" s="179" t="str">
        <f t="shared" si="0"/>
        <v>Acapulco de Juarez_Flat Surface_112.5</v>
      </c>
      <c r="B3" s="501" t="s">
        <v>1117</v>
      </c>
      <c r="C3" s="429">
        <v>0</v>
      </c>
      <c r="D3" s="429">
        <v>112.5</v>
      </c>
      <c r="E3" s="431">
        <v>5.45</v>
      </c>
      <c r="F3" s="431">
        <v>6.27</v>
      </c>
      <c r="G3" s="431">
        <v>7.09</v>
      </c>
      <c r="H3" s="431">
        <v>7.24</v>
      </c>
      <c r="I3" s="431">
        <v>6.76</v>
      </c>
      <c r="J3" s="431">
        <v>6.03</v>
      </c>
      <c r="K3" s="431">
        <v>6.27</v>
      </c>
      <c r="L3" s="431">
        <v>5.99</v>
      </c>
      <c r="M3" s="431">
        <v>5.31</v>
      </c>
      <c r="N3" s="431">
        <v>5.69</v>
      </c>
      <c r="O3" s="431">
        <v>5.52</v>
      </c>
      <c r="P3" s="431">
        <v>5.14</v>
      </c>
      <c r="Q3" s="179">
        <f t="shared" si="1"/>
        <v>6.0633333333333335</v>
      </c>
      <c r="R3" s="179" t="s">
        <v>994</v>
      </c>
    </row>
    <row r="4" spans="1:18" x14ac:dyDescent="0.15">
      <c r="A4" s="179" t="str">
        <f t="shared" si="0"/>
        <v>Acapulco de Juarez_Flat Surface_135</v>
      </c>
      <c r="B4" s="501" t="s">
        <v>1117</v>
      </c>
      <c r="C4" s="429">
        <v>0</v>
      </c>
      <c r="D4" s="429">
        <v>135</v>
      </c>
      <c r="E4" s="431">
        <v>5.45</v>
      </c>
      <c r="F4" s="431">
        <v>6.27</v>
      </c>
      <c r="G4" s="431">
        <v>7.09</v>
      </c>
      <c r="H4" s="431">
        <v>7.24</v>
      </c>
      <c r="I4" s="431">
        <v>6.76</v>
      </c>
      <c r="J4" s="431">
        <v>6.03</v>
      </c>
      <c r="K4" s="431">
        <v>6.27</v>
      </c>
      <c r="L4" s="431">
        <v>5.99</v>
      </c>
      <c r="M4" s="431">
        <v>5.31</v>
      </c>
      <c r="N4" s="431">
        <v>5.69</v>
      </c>
      <c r="O4" s="431">
        <v>5.52</v>
      </c>
      <c r="P4" s="431">
        <v>5.14</v>
      </c>
      <c r="Q4" s="179">
        <f t="shared" si="1"/>
        <v>6.0633333333333335</v>
      </c>
      <c r="R4" s="179" t="s">
        <v>994</v>
      </c>
    </row>
    <row r="5" spans="1:18" x14ac:dyDescent="0.15">
      <c r="A5" s="179" t="str">
        <f t="shared" si="0"/>
        <v>Acapulco de Juarez_Flat Surface_157.5</v>
      </c>
      <c r="B5" s="501" t="s">
        <v>1117</v>
      </c>
      <c r="C5" s="429">
        <v>0</v>
      </c>
      <c r="D5" s="429">
        <v>157.5</v>
      </c>
      <c r="E5" s="431">
        <v>5.45</v>
      </c>
      <c r="F5" s="431">
        <v>6.27</v>
      </c>
      <c r="G5" s="431">
        <v>7.09</v>
      </c>
      <c r="H5" s="431">
        <v>7.24</v>
      </c>
      <c r="I5" s="431">
        <v>6.76</v>
      </c>
      <c r="J5" s="431">
        <v>6.03</v>
      </c>
      <c r="K5" s="431">
        <v>6.27</v>
      </c>
      <c r="L5" s="431">
        <v>5.99</v>
      </c>
      <c r="M5" s="431">
        <v>5.31</v>
      </c>
      <c r="N5" s="431">
        <v>5.69</v>
      </c>
      <c r="O5" s="431">
        <v>5.52</v>
      </c>
      <c r="P5" s="431">
        <v>5.14</v>
      </c>
      <c r="Q5" s="179">
        <f t="shared" si="1"/>
        <v>6.0633333333333335</v>
      </c>
      <c r="R5" s="179" t="s">
        <v>994</v>
      </c>
    </row>
    <row r="6" spans="1:18" x14ac:dyDescent="0.15">
      <c r="A6" s="179" t="str">
        <f t="shared" si="0"/>
        <v>Acapulco de Juarez_Flat Surface_180</v>
      </c>
      <c r="B6" s="501" t="s">
        <v>1117</v>
      </c>
      <c r="C6" s="429">
        <v>0</v>
      </c>
      <c r="D6" s="429">
        <v>180</v>
      </c>
      <c r="E6" s="431">
        <v>5.45</v>
      </c>
      <c r="F6" s="431">
        <v>6.27</v>
      </c>
      <c r="G6" s="431">
        <v>7.09</v>
      </c>
      <c r="H6" s="431">
        <v>7.24</v>
      </c>
      <c r="I6" s="431">
        <v>6.76</v>
      </c>
      <c r="J6" s="431">
        <v>6.03</v>
      </c>
      <c r="K6" s="431">
        <v>6.27</v>
      </c>
      <c r="L6" s="431">
        <v>5.99</v>
      </c>
      <c r="M6" s="431">
        <v>5.31</v>
      </c>
      <c r="N6" s="431">
        <v>5.69</v>
      </c>
      <c r="O6" s="431">
        <v>5.52</v>
      </c>
      <c r="P6" s="431">
        <v>5.14</v>
      </c>
      <c r="Q6" s="179">
        <f t="shared" si="1"/>
        <v>6.0633333333333335</v>
      </c>
      <c r="R6" s="179" t="s">
        <v>994</v>
      </c>
    </row>
    <row r="7" spans="1:18" x14ac:dyDescent="0.15">
      <c r="A7" s="179" t="str">
        <f t="shared" si="0"/>
        <v>Acapulco de Juarez_Flat Surface_202.5</v>
      </c>
      <c r="B7" s="501" t="s">
        <v>1117</v>
      </c>
      <c r="C7" s="429">
        <v>0</v>
      </c>
      <c r="D7" s="429">
        <v>202.5</v>
      </c>
      <c r="E7" s="431">
        <v>5.45</v>
      </c>
      <c r="F7" s="431">
        <v>6.27</v>
      </c>
      <c r="G7" s="431">
        <v>7.09</v>
      </c>
      <c r="H7" s="431">
        <v>7.24</v>
      </c>
      <c r="I7" s="431">
        <v>6.76</v>
      </c>
      <c r="J7" s="431">
        <v>6.03</v>
      </c>
      <c r="K7" s="431">
        <v>6.27</v>
      </c>
      <c r="L7" s="431">
        <v>5.99</v>
      </c>
      <c r="M7" s="431">
        <v>5.31</v>
      </c>
      <c r="N7" s="431">
        <v>5.69</v>
      </c>
      <c r="O7" s="431">
        <v>5.52</v>
      </c>
      <c r="P7" s="431">
        <v>5.14</v>
      </c>
      <c r="Q7" s="179">
        <f t="shared" si="1"/>
        <v>6.0633333333333335</v>
      </c>
      <c r="R7" s="179" t="s">
        <v>994</v>
      </c>
    </row>
    <row r="8" spans="1:18" x14ac:dyDescent="0.15">
      <c r="A8" s="179" t="str">
        <f t="shared" si="0"/>
        <v>Acapulco de Juarez_Flat Surface_225</v>
      </c>
      <c r="B8" s="501" t="s">
        <v>1117</v>
      </c>
      <c r="C8" s="429">
        <v>0</v>
      </c>
      <c r="D8" s="429">
        <v>225</v>
      </c>
      <c r="E8" s="431">
        <v>5.45</v>
      </c>
      <c r="F8" s="431">
        <v>6.27</v>
      </c>
      <c r="G8" s="431">
        <v>7.09</v>
      </c>
      <c r="H8" s="431">
        <v>7.24</v>
      </c>
      <c r="I8" s="431">
        <v>6.76</v>
      </c>
      <c r="J8" s="431">
        <v>6.03</v>
      </c>
      <c r="K8" s="431">
        <v>6.27</v>
      </c>
      <c r="L8" s="431">
        <v>5.99</v>
      </c>
      <c r="M8" s="431">
        <v>5.31</v>
      </c>
      <c r="N8" s="431">
        <v>5.69</v>
      </c>
      <c r="O8" s="431">
        <v>5.52</v>
      </c>
      <c r="P8" s="431">
        <v>5.14</v>
      </c>
      <c r="Q8" s="179">
        <f t="shared" si="1"/>
        <v>6.0633333333333335</v>
      </c>
      <c r="R8" s="179" t="s">
        <v>994</v>
      </c>
    </row>
    <row r="9" spans="1:18" x14ac:dyDescent="0.15">
      <c r="A9" s="179" t="str">
        <f t="shared" si="0"/>
        <v>Acapulco de Juarez_Flat Surface_247.5</v>
      </c>
      <c r="B9" s="501" t="s">
        <v>1117</v>
      </c>
      <c r="C9" s="429">
        <v>0</v>
      </c>
      <c r="D9" s="429">
        <v>247.5</v>
      </c>
      <c r="E9" s="431">
        <v>5.45</v>
      </c>
      <c r="F9" s="431">
        <v>6.27</v>
      </c>
      <c r="G9" s="431">
        <v>7.09</v>
      </c>
      <c r="H9" s="431">
        <v>7.24</v>
      </c>
      <c r="I9" s="431">
        <v>6.76</v>
      </c>
      <c r="J9" s="431">
        <v>6.03</v>
      </c>
      <c r="K9" s="431">
        <v>6.27</v>
      </c>
      <c r="L9" s="431">
        <v>5.99</v>
      </c>
      <c r="M9" s="431">
        <v>5.31</v>
      </c>
      <c r="N9" s="431">
        <v>5.69</v>
      </c>
      <c r="O9" s="431">
        <v>5.52</v>
      </c>
      <c r="P9" s="431">
        <v>5.14</v>
      </c>
      <c r="Q9" s="179">
        <f t="shared" si="1"/>
        <v>6.0633333333333335</v>
      </c>
      <c r="R9" s="179" t="s">
        <v>994</v>
      </c>
    </row>
    <row r="10" spans="1:18" x14ac:dyDescent="0.15">
      <c r="A10" s="179" t="str">
        <f t="shared" si="0"/>
        <v>Acapulco de Juarez_Flat Surface_270</v>
      </c>
      <c r="B10" s="501" t="s">
        <v>1117</v>
      </c>
      <c r="C10" s="429">
        <v>0</v>
      </c>
      <c r="D10" s="429">
        <v>270</v>
      </c>
      <c r="E10" s="431">
        <v>5.45</v>
      </c>
      <c r="F10" s="431">
        <v>6.27</v>
      </c>
      <c r="G10" s="431">
        <v>7.09</v>
      </c>
      <c r="H10" s="431">
        <v>7.24</v>
      </c>
      <c r="I10" s="431">
        <v>6.76</v>
      </c>
      <c r="J10" s="431">
        <v>6.03</v>
      </c>
      <c r="K10" s="431">
        <v>6.27</v>
      </c>
      <c r="L10" s="431">
        <v>5.99</v>
      </c>
      <c r="M10" s="431">
        <v>5.31</v>
      </c>
      <c r="N10" s="431">
        <v>5.69</v>
      </c>
      <c r="O10" s="431">
        <v>5.52</v>
      </c>
      <c r="P10" s="431">
        <v>5.14</v>
      </c>
      <c r="Q10" s="179">
        <f t="shared" si="1"/>
        <v>6.0633333333333335</v>
      </c>
      <c r="R10" s="179" t="s">
        <v>994</v>
      </c>
    </row>
    <row r="11" spans="1:18" x14ac:dyDescent="0.15">
      <c r="A11" s="179" t="str">
        <f t="shared" si="0"/>
        <v>Acapulco de Juarez_Optimal Summer_90</v>
      </c>
      <c r="B11" s="501" t="s">
        <v>1117</v>
      </c>
      <c r="C11" s="429">
        <v>2</v>
      </c>
      <c r="D11" s="429">
        <v>90</v>
      </c>
      <c r="E11" s="431">
        <v>4.42</v>
      </c>
      <c r="F11" s="431">
        <v>5.0599999999999996</v>
      </c>
      <c r="G11" s="431">
        <v>5.7</v>
      </c>
      <c r="H11" s="431">
        <v>5.8</v>
      </c>
      <c r="I11" s="431">
        <v>5.42</v>
      </c>
      <c r="J11" s="431">
        <v>4.83</v>
      </c>
      <c r="K11" s="431">
        <v>5.03</v>
      </c>
      <c r="L11" s="431">
        <v>4.79</v>
      </c>
      <c r="M11" s="431">
        <v>4.26</v>
      </c>
      <c r="N11" s="431">
        <v>4.58</v>
      </c>
      <c r="O11" s="431">
        <v>4.46</v>
      </c>
      <c r="P11" s="431">
        <v>4.18</v>
      </c>
      <c r="Q11" s="179">
        <f t="shared" si="1"/>
        <v>4.8774999999999995</v>
      </c>
      <c r="R11" s="179" t="s">
        <v>958</v>
      </c>
    </row>
    <row r="12" spans="1:18" x14ac:dyDescent="0.15">
      <c r="A12" s="179" t="str">
        <f t="shared" si="0"/>
        <v>Acapulco de Juarez_Optimal Summer_112.5</v>
      </c>
      <c r="B12" s="501" t="s">
        <v>1117</v>
      </c>
      <c r="C12" s="429">
        <v>2</v>
      </c>
      <c r="D12" s="429">
        <v>112.5</v>
      </c>
      <c r="E12" s="431">
        <v>4.83</v>
      </c>
      <c r="F12" s="431">
        <v>5.54</v>
      </c>
      <c r="G12" s="431">
        <v>6.24</v>
      </c>
      <c r="H12" s="431">
        <v>6.34</v>
      </c>
      <c r="I12" s="431">
        <v>5.92</v>
      </c>
      <c r="J12" s="431">
        <v>5.28</v>
      </c>
      <c r="K12" s="431">
        <v>5.5</v>
      </c>
      <c r="L12" s="431">
        <v>5.24</v>
      </c>
      <c r="M12" s="431">
        <v>4.66</v>
      </c>
      <c r="N12" s="431">
        <v>5.01</v>
      </c>
      <c r="O12" s="431">
        <v>4.88</v>
      </c>
      <c r="P12" s="431">
        <v>4.57</v>
      </c>
      <c r="Q12" s="179">
        <f t="shared" si="1"/>
        <v>5.3341666666666656</v>
      </c>
      <c r="R12" s="179" t="s">
        <v>958</v>
      </c>
    </row>
    <row r="13" spans="1:18" x14ac:dyDescent="0.15">
      <c r="A13" s="179" t="str">
        <f t="shared" si="0"/>
        <v>Acapulco de Juarez_Optimal Summer_135</v>
      </c>
      <c r="B13" s="501" t="s">
        <v>1117</v>
      </c>
      <c r="C13" s="429">
        <v>2</v>
      </c>
      <c r="D13" s="429">
        <v>135</v>
      </c>
      <c r="E13" s="431">
        <v>5.24</v>
      </c>
      <c r="F13" s="431">
        <v>6.01</v>
      </c>
      <c r="G13" s="431">
        <v>6.77</v>
      </c>
      <c r="H13" s="431">
        <v>6.89</v>
      </c>
      <c r="I13" s="431">
        <v>6.43</v>
      </c>
      <c r="J13" s="431">
        <v>5.74</v>
      </c>
      <c r="K13" s="431">
        <v>5.98</v>
      </c>
      <c r="L13" s="431">
        <v>5.69</v>
      </c>
      <c r="M13" s="431">
        <v>5.0599999999999996</v>
      </c>
      <c r="N13" s="431">
        <v>5.44</v>
      </c>
      <c r="O13" s="431">
        <v>5.3</v>
      </c>
      <c r="P13" s="431">
        <v>4.96</v>
      </c>
      <c r="Q13" s="179">
        <f t="shared" si="1"/>
        <v>5.7924999999999995</v>
      </c>
      <c r="R13" s="179" t="s">
        <v>958</v>
      </c>
    </row>
    <row r="14" spans="1:18" x14ac:dyDescent="0.15">
      <c r="A14" s="179" t="str">
        <f t="shared" si="0"/>
        <v>Acapulco de Juarez_Optimal Summer_157.5</v>
      </c>
      <c r="B14" s="501" t="s">
        <v>1117</v>
      </c>
      <c r="C14" s="429">
        <v>2</v>
      </c>
      <c r="D14" s="429">
        <v>157.5</v>
      </c>
      <c r="E14" s="431">
        <v>5.38</v>
      </c>
      <c r="F14" s="431">
        <v>6.17</v>
      </c>
      <c r="G14" s="431">
        <v>6.95</v>
      </c>
      <c r="H14" s="431">
        <v>7.07</v>
      </c>
      <c r="I14" s="431">
        <v>6.6</v>
      </c>
      <c r="J14" s="431">
        <v>5.89</v>
      </c>
      <c r="K14" s="431">
        <v>6.13</v>
      </c>
      <c r="L14" s="431">
        <v>5.84</v>
      </c>
      <c r="M14" s="431">
        <v>5.2</v>
      </c>
      <c r="N14" s="431">
        <v>5.59</v>
      </c>
      <c r="O14" s="431">
        <v>5.44</v>
      </c>
      <c r="P14" s="431">
        <v>5.09</v>
      </c>
      <c r="Q14" s="179">
        <f t="shared" si="1"/>
        <v>5.9458333333333337</v>
      </c>
      <c r="R14" s="179" t="s">
        <v>958</v>
      </c>
    </row>
    <row r="15" spans="1:18" x14ac:dyDescent="0.15">
      <c r="A15" s="179" t="str">
        <f t="shared" si="0"/>
        <v>Acapulco de Juarez_Optimal Summer_180</v>
      </c>
      <c r="B15" s="501" t="s">
        <v>1117</v>
      </c>
      <c r="C15" s="429">
        <v>2</v>
      </c>
      <c r="D15" s="429">
        <v>180</v>
      </c>
      <c r="E15" s="431">
        <v>5.52</v>
      </c>
      <c r="F15" s="431">
        <v>6.33</v>
      </c>
      <c r="G15" s="431">
        <v>7.13</v>
      </c>
      <c r="H15" s="431">
        <v>7.25</v>
      </c>
      <c r="I15" s="431">
        <v>6.77</v>
      </c>
      <c r="J15" s="431">
        <v>6.04</v>
      </c>
      <c r="K15" s="431">
        <v>6.29</v>
      </c>
      <c r="L15" s="431">
        <v>5.99</v>
      </c>
      <c r="M15" s="431">
        <v>5.33</v>
      </c>
      <c r="N15" s="431">
        <v>5.73</v>
      </c>
      <c r="O15" s="431">
        <v>5.58</v>
      </c>
      <c r="P15" s="431">
        <v>5.22</v>
      </c>
      <c r="Q15" s="179">
        <f t="shared" si="1"/>
        <v>6.0983333333333327</v>
      </c>
      <c r="R15" s="179" t="s">
        <v>958</v>
      </c>
    </row>
    <row r="16" spans="1:18" x14ac:dyDescent="0.15">
      <c r="A16" s="179" t="str">
        <f t="shared" si="0"/>
        <v>Acapulco de Juarez_Optimal Summer_202.5</v>
      </c>
      <c r="B16" s="501" t="s">
        <v>1117</v>
      </c>
      <c r="C16" s="429">
        <v>2</v>
      </c>
      <c r="D16" s="429">
        <v>202.5</v>
      </c>
      <c r="E16" s="431">
        <v>5.38</v>
      </c>
      <c r="F16" s="431">
        <v>6.17</v>
      </c>
      <c r="G16" s="431">
        <v>6.95</v>
      </c>
      <c r="H16" s="431">
        <v>7.07</v>
      </c>
      <c r="I16" s="431">
        <v>6.6</v>
      </c>
      <c r="J16" s="431">
        <v>5.89</v>
      </c>
      <c r="K16" s="431">
        <v>6.13</v>
      </c>
      <c r="L16" s="431">
        <v>5.84</v>
      </c>
      <c r="M16" s="431">
        <v>5.2</v>
      </c>
      <c r="N16" s="431">
        <v>5.59</v>
      </c>
      <c r="O16" s="431">
        <v>5.44</v>
      </c>
      <c r="P16" s="431">
        <v>5.09</v>
      </c>
      <c r="Q16" s="179">
        <f t="shared" si="1"/>
        <v>5.9458333333333337</v>
      </c>
      <c r="R16" s="179" t="s">
        <v>958</v>
      </c>
    </row>
    <row r="17" spans="1:18" x14ac:dyDescent="0.15">
      <c r="A17" s="179" t="str">
        <f t="shared" si="0"/>
        <v>Acapulco de Juarez_Optimal Summer_225</v>
      </c>
      <c r="B17" s="501" t="s">
        <v>1117</v>
      </c>
      <c r="C17" s="429">
        <v>2</v>
      </c>
      <c r="D17" s="429">
        <v>225</v>
      </c>
      <c r="E17" s="431">
        <v>5.24</v>
      </c>
      <c r="F17" s="431">
        <v>6.01</v>
      </c>
      <c r="G17" s="431">
        <v>6.77</v>
      </c>
      <c r="H17" s="431">
        <v>6.89</v>
      </c>
      <c r="I17" s="431">
        <v>6.43</v>
      </c>
      <c r="J17" s="431">
        <v>5.74</v>
      </c>
      <c r="K17" s="431">
        <v>5.98</v>
      </c>
      <c r="L17" s="431">
        <v>5.69</v>
      </c>
      <c r="M17" s="431">
        <v>5.0599999999999996</v>
      </c>
      <c r="N17" s="431">
        <v>5.44</v>
      </c>
      <c r="O17" s="431">
        <v>5.3</v>
      </c>
      <c r="P17" s="431">
        <v>4.96</v>
      </c>
      <c r="Q17" s="179">
        <f t="shared" si="1"/>
        <v>5.7924999999999995</v>
      </c>
      <c r="R17" s="179" t="s">
        <v>958</v>
      </c>
    </row>
    <row r="18" spans="1:18" x14ac:dyDescent="0.15">
      <c r="A18" s="179" t="str">
        <f t="shared" si="0"/>
        <v>Acapulco de Juarez_Optimal Summer_247.5</v>
      </c>
      <c r="B18" s="501" t="s">
        <v>1117</v>
      </c>
      <c r="C18" s="429">
        <v>2</v>
      </c>
      <c r="D18" s="429">
        <v>247.5</v>
      </c>
      <c r="E18" s="431">
        <v>4.83</v>
      </c>
      <c r="F18" s="431">
        <v>5.54</v>
      </c>
      <c r="G18" s="431">
        <v>6.24</v>
      </c>
      <c r="H18" s="431">
        <v>6.34</v>
      </c>
      <c r="I18" s="431">
        <v>5.92</v>
      </c>
      <c r="J18" s="431">
        <v>5.28</v>
      </c>
      <c r="K18" s="431">
        <v>5.5</v>
      </c>
      <c r="L18" s="431">
        <v>5.24</v>
      </c>
      <c r="M18" s="431">
        <v>4.66</v>
      </c>
      <c r="N18" s="431">
        <v>5.01</v>
      </c>
      <c r="O18" s="431">
        <v>4.88</v>
      </c>
      <c r="P18" s="431">
        <v>4.57</v>
      </c>
      <c r="Q18" s="179">
        <f t="shared" si="1"/>
        <v>5.3341666666666656</v>
      </c>
      <c r="R18" s="179" t="s">
        <v>958</v>
      </c>
    </row>
    <row r="19" spans="1:18" x14ac:dyDescent="0.15">
      <c r="A19" s="179" t="str">
        <f t="shared" si="0"/>
        <v>Acapulco de Juarez_Optimal Summer_270</v>
      </c>
      <c r="B19" s="501" t="s">
        <v>1117</v>
      </c>
      <c r="C19" s="429">
        <v>2</v>
      </c>
      <c r="D19" s="429">
        <v>270</v>
      </c>
      <c r="E19" s="431">
        <v>4.42</v>
      </c>
      <c r="F19" s="431">
        <v>5.0599999999999996</v>
      </c>
      <c r="G19" s="431">
        <v>5.7</v>
      </c>
      <c r="H19" s="431">
        <v>5.8</v>
      </c>
      <c r="I19" s="431">
        <v>5.42</v>
      </c>
      <c r="J19" s="431">
        <v>4.83</v>
      </c>
      <c r="K19" s="431">
        <v>5.03</v>
      </c>
      <c r="L19" s="431">
        <v>4.79</v>
      </c>
      <c r="M19" s="431">
        <v>4.26</v>
      </c>
      <c r="N19" s="431">
        <v>4.58</v>
      </c>
      <c r="O19" s="431">
        <v>4.46</v>
      </c>
      <c r="P19" s="431">
        <v>4.18</v>
      </c>
      <c r="Q19" s="179">
        <f t="shared" si="1"/>
        <v>4.8774999999999995</v>
      </c>
      <c r="R19" s="179" t="s">
        <v>958</v>
      </c>
    </row>
    <row r="20" spans="1:18" x14ac:dyDescent="0.15">
      <c r="A20" s="179" t="str">
        <f t="shared" si="0"/>
        <v>Acapulco de Juarez_Optimal Year Round_90</v>
      </c>
      <c r="B20" s="501" t="s">
        <v>1117</v>
      </c>
      <c r="C20" s="429">
        <v>17</v>
      </c>
      <c r="D20" s="429">
        <v>90</v>
      </c>
      <c r="E20" s="431">
        <v>5.17</v>
      </c>
      <c r="F20" s="431">
        <v>5.63</v>
      </c>
      <c r="G20" s="431">
        <v>5.97</v>
      </c>
      <c r="H20" s="431">
        <v>5.7</v>
      </c>
      <c r="I20" s="431">
        <v>5.39</v>
      </c>
      <c r="J20" s="431">
        <v>4.9000000000000004</v>
      </c>
      <c r="K20" s="431">
        <v>5.08</v>
      </c>
      <c r="L20" s="431">
        <v>4.6399999999999997</v>
      </c>
      <c r="M20" s="431">
        <v>4.3099999999999996</v>
      </c>
      <c r="N20" s="431">
        <v>4.9400000000000004</v>
      </c>
      <c r="O20" s="431">
        <v>5.14</v>
      </c>
      <c r="P20" s="431">
        <v>4.95</v>
      </c>
      <c r="Q20" s="179">
        <f t="shared" si="1"/>
        <v>5.1516666666666664</v>
      </c>
      <c r="R20" s="179" t="s">
        <v>993</v>
      </c>
    </row>
    <row r="21" spans="1:18" x14ac:dyDescent="0.15">
      <c r="A21" s="179" t="str">
        <f t="shared" si="0"/>
        <v>Acapulco de Juarez_Optimal Year Round_112.5</v>
      </c>
      <c r="B21" s="501" t="s">
        <v>1117</v>
      </c>
      <c r="C21" s="429">
        <v>17</v>
      </c>
      <c r="D21" s="429">
        <v>112.5</v>
      </c>
      <c r="E21" s="431">
        <v>5.65</v>
      </c>
      <c r="F21" s="431">
        <v>6.16</v>
      </c>
      <c r="G21" s="431">
        <v>6.53</v>
      </c>
      <c r="H21" s="431">
        <v>6.24</v>
      </c>
      <c r="I21" s="431">
        <v>5.9</v>
      </c>
      <c r="J21" s="431">
        <v>5.36</v>
      </c>
      <c r="K21" s="431">
        <v>5.56</v>
      </c>
      <c r="L21" s="431">
        <v>5.08</v>
      </c>
      <c r="M21" s="431">
        <v>4.72</v>
      </c>
      <c r="N21" s="431">
        <v>5.41</v>
      </c>
      <c r="O21" s="431">
        <v>5.63</v>
      </c>
      <c r="P21" s="431">
        <v>5.42</v>
      </c>
      <c r="Q21" s="179">
        <f t="shared" si="1"/>
        <v>5.6383333333333328</v>
      </c>
      <c r="R21" s="179" t="s">
        <v>993</v>
      </c>
    </row>
    <row r="22" spans="1:18" x14ac:dyDescent="0.15">
      <c r="A22" s="179" t="str">
        <f t="shared" si="0"/>
        <v>Acapulco de Juarez_Optimal Year Round_135</v>
      </c>
      <c r="B22" s="501" t="s">
        <v>1117</v>
      </c>
      <c r="C22" s="429">
        <v>17</v>
      </c>
      <c r="D22" s="429">
        <v>135</v>
      </c>
      <c r="E22" s="431">
        <v>6.14</v>
      </c>
      <c r="F22" s="431">
        <v>6.69</v>
      </c>
      <c r="G22" s="431">
        <v>7.09</v>
      </c>
      <c r="H22" s="431">
        <v>6.77</v>
      </c>
      <c r="I22" s="431">
        <v>6.4</v>
      </c>
      <c r="J22" s="431">
        <v>5.82</v>
      </c>
      <c r="K22" s="431">
        <v>6.03</v>
      </c>
      <c r="L22" s="431">
        <v>5.51</v>
      </c>
      <c r="M22" s="431">
        <v>5.12</v>
      </c>
      <c r="N22" s="431">
        <v>5.87</v>
      </c>
      <c r="O22" s="431">
        <v>6.11</v>
      </c>
      <c r="P22" s="431">
        <v>5.88</v>
      </c>
      <c r="Q22" s="179">
        <f t="shared" si="1"/>
        <v>6.1191666666666658</v>
      </c>
      <c r="R22" s="179" t="s">
        <v>993</v>
      </c>
    </row>
    <row r="23" spans="1:18" x14ac:dyDescent="0.15">
      <c r="A23" s="179" t="str">
        <f t="shared" si="0"/>
        <v>Acapulco de Juarez_Optimal Year Round_157.5</v>
      </c>
      <c r="B23" s="501" t="s">
        <v>1117</v>
      </c>
      <c r="C23" s="429">
        <v>17</v>
      </c>
      <c r="D23" s="429">
        <v>157.5</v>
      </c>
      <c r="E23" s="431">
        <v>6.3</v>
      </c>
      <c r="F23" s="431">
        <v>6.86</v>
      </c>
      <c r="G23" s="431">
        <v>7.27</v>
      </c>
      <c r="H23" s="431">
        <v>6.95</v>
      </c>
      <c r="I23" s="431">
        <v>6.57</v>
      </c>
      <c r="J23" s="431">
        <v>5.98</v>
      </c>
      <c r="K23" s="431">
        <v>6.19</v>
      </c>
      <c r="L23" s="431">
        <v>5.66</v>
      </c>
      <c r="M23" s="431">
        <v>5.26</v>
      </c>
      <c r="N23" s="431">
        <v>6.03</v>
      </c>
      <c r="O23" s="431">
        <v>6.27</v>
      </c>
      <c r="P23" s="431">
        <v>6.04</v>
      </c>
      <c r="Q23" s="179">
        <f t="shared" si="1"/>
        <v>6.2816666666666672</v>
      </c>
      <c r="R23" s="179" t="s">
        <v>993</v>
      </c>
    </row>
    <row r="24" spans="1:18" x14ac:dyDescent="0.15">
      <c r="A24" s="179" t="str">
        <f t="shared" si="0"/>
        <v>Acapulco de Juarez_Optimal Year Round_180</v>
      </c>
      <c r="B24" s="501" t="s">
        <v>1117</v>
      </c>
      <c r="C24" s="429">
        <v>17</v>
      </c>
      <c r="D24" s="429">
        <v>180</v>
      </c>
      <c r="E24" s="431">
        <v>6.46</v>
      </c>
      <c r="F24" s="431">
        <v>7.04</v>
      </c>
      <c r="G24" s="431">
        <v>7.46</v>
      </c>
      <c r="H24" s="431">
        <v>7.13</v>
      </c>
      <c r="I24" s="431">
        <v>6.74</v>
      </c>
      <c r="J24" s="431">
        <v>6.13</v>
      </c>
      <c r="K24" s="431">
        <v>6.35</v>
      </c>
      <c r="L24" s="431">
        <v>5.8</v>
      </c>
      <c r="M24" s="431">
        <v>5.39</v>
      </c>
      <c r="N24" s="431">
        <v>6.18</v>
      </c>
      <c r="O24" s="431">
        <v>6.43</v>
      </c>
      <c r="P24" s="431">
        <v>6.19</v>
      </c>
      <c r="Q24" s="179">
        <f t="shared" si="1"/>
        <v>6.4416666666666673</v>
      </c>
      <c r="R24" s="179" t="s">
        <v>993</v>
      </c>
    </row>
    <row r="25" spans="1:18" x14ac:dyDescent="0.15">
      <c r="A25" s="179" t="str">
        <f t="shared" si="0"/>
        <v>Acapulco de Juarez_Optimal Year Round_202.5</v>
      </c>
      <c r="B25" s="501" t="s">
        <v>1117</v>
      </c>
      <c r="C25" s="429">
        <v>17</v>
      </c>
      <c r="D25" s="429">
        <v>202.5</v>
      </c>
      <c r="E25" s="431">
        <v>6.3</v>
      </c>
      <c r="F25" s="431">
        <v>6.86</v>
      </c>
      <c r="G25" s="431">
        <v>7.27</v>
      </c>
      <c r="H25" s="431">
        <v>6.95</v>
      </c>
      <c r="I25" s="431">
        <v>6.57</v>
      </c>
      <c r="J25" s="431">
        <v>5.98</v>
      </c>
      <c r="K25" s="431">
        <v>6.19</v>
      </c>
      <c r="L25" s="431">
        <v>5.66</v>
      </c>
      <c r="M25" s="431">
        <v>5.26</v>
      </c>
      <c r="N25" s="431">
        <v>6.03</v>
      </c>
      <c r="O25" s="431">
        <v>6.27</v>
      </c>
      <c r="P25" s="431">
        <v>6.04</v>
      </c>
      <c r="Q25" s="179">
        <f t="shared" si="1"/>
        <v>6.2816666666666672</v>
      </c>
      <c r="R25" s="179" t="s">
        <v>993</v>
      </c>
    </row>
    <row r="26" spans="1:18" x14ac:dyDescent="0.15">
      <c r="A26" s="179" t="str">
        <f t="shared" si="0"/>
        <v>Acapulco de Juarez_Optimal Year Round_225</v>
      </c>
      <c r="B26" s="501" t="s">
        <v>1117</v>
      </c>
      <c r="C26" s="429">
        <v>17</v>
      </c>
      <c r="D26" s="429">
        <v>225</v>
      </c>
      <c r="E26" s="431">
        <v>6.14</v>
      </c>
      <c r="F26" s="431">
        <v>6.69</v>
      </c>
      <c r="G26" s="431">
        <v>7.09</v>
      </c>
      <c r="H26" s="431">
        <v>6.77</v>
      </c>
      <c r="I26" s="431">
        <v>6.4</v>
      </c>
      <c r="J26" s="431">
        <v>5.82</v>
      </c>
      <c r="K26" s="431">
        <v>6.03</v>
      </c>
      <c r="L26" s="431">
        <v>5.51</v>
      </c>
      <c r="M26" s="431">
        <v>5.12</v>
      </c>
      <c r="N26" s="431">
        <v>5.87</v>
      </c>
      <c r="O26" s="431">
        <v>6.11</v>
      </c>
      <c r="P26" s="431">
        <v>5.88</v>
      </c>
      <c r="Q26" s="179">
        <f t="shared" si="1"/>
        <v>6.1191666666666658</v>
      </c>
      <c r="R26" s="179" t="s">
        <v>993</v>
      </c>
    </row>
    <row r="27" spans="1:18" x14ac:dyDescent="0.15">
      <c r="A27" s="179" t="str">
        <f t="shared" si="0"/>
        <v>Acapulco de Juarez_Optimal Year Round_247.5</v>
      </c>
      <c r="B27" s="501" t="s">
        <v>1117</v>
      </c>
      <c r="C27" s="429">
        <v>17</v>
      </c>
      <c r="D27" s="429">
        <v>247.5</v>
      </c>
      <c r="E27" s="431">
        <v>5.65</v>
      </c>
      <c r="F27" s="431">
        <v>6.16</v>
      </c>
      <c r="G27" s="431">
        <v>6.53</v>
      </c>
      <c r="H27" s="431">
        <v>6.24</v>
      </c>
      <c r="I27" s="431">
        <v>5.9</v>
      </c>
      <c r="J27" s="431">
        <v>5.36</v>
      </c>
      <c r="K27" s="431">
        <v>5.56</v>
      </c>
      <c r="L27" s="431">
        <v>5.08</v>
      </c>
      <c r="M27" s="431">
        <v>4.72</v>
      </c>
      <c r="N27" s="431">
        <v>5.41</v>
      </c>
      <c r="O27" s="431">
        <v>5.63</v>
      </c>
      <c r="P27" s="431">
        <v>5.42</v>
      </c>
      <c r="Q27" s="179">
        <f t="shared" si="1"/>
        <v>5.6383333333333328</v>
      </c>
      <c r="R27" s="179" t="s">
        <v>993</v>
      </c>
    </row>
    <row r="28" spans="1:18" x14ac:dyDescent="0.15">
      <c r="A28" s="179" t="str">
        <f t="shared" si="0"/>
        <v>Acapulco de Juarez_Optimal Year Round_270</v>
      </c>
      <c r="B28" s="501" t="s">
        <v>1117</v>
      </c>
      <c r="C28" s="429">
        <v>17</v>
      </c>
      <c r="D28" s="429">
        <v>270</v>
      </c>
      <c r="E28" s="431">
        <v>5.17</v>
      </c>
      <c r="F28" s="431">
        <v>5.63</v>
      </c>
      <c r="G28" s="431">
        <v>5.97</v>
      </c>
      <c r="H28" s="431">
        <v>5.7</v>
      </c>
      <c r="I28" s="431">
        <v>5.39</v>
      </c>
      <c r="J28" s="431">
        <v>4.9000000000000004</v>
      </c>
      <c r="K28" s="431">
        <v>5.08</v>
      </c>
      <c r="L28" s="431">
        <v>4.6399999999999997</v>
      </c>
      <c r="M28" s="431">
        <v>4.3099999999999996</v>
      </c>
      <c r="N28" s="431">
        <v>4.9400000000000004</v>
      </c>
      <c r="O28" s="431">
        <v>5.14</v>
      </c>
      <c r="P28" s="431">
        <v>4.95</v>
      </c>
      <c r="Q28" s="179">
        <f t="shared" si="1"/>
        <v>5.1516666666666664</v>
      </c>
      <c r="R28" s="179" t="s">
        <v>993</v>
      </c>
    </row>
    <row r="29" spans="1:18" x14ac:dyDescent="0.15">
      <c r="A29" s="179" t="str">
        <f t="shared" si="0"/>
        <v>Aguascalientes_Flat Surface_90</v>
      </c>
      <c r="B29" s="501" t="s">
        <v>615</v>
      </c>
      <c r="C29" s="429">
        <v>0</v>
      </c>
      <c r="D29" s="429">
        <v>90</v>
      </c>
      <c r="E29" s="431">
        <v>4.57</v>
      </c>
      <c r="F29" s="431">
        <v>5.67</v>
      </c>
      <c r="G29" s="431">
        <v>6.77</v>
      </c>
      <c r="H29" s="431">
        <v>7.07</v>
      </c>
      <c r="I29" s="431">
        <v>7.14</v>
      </c>
      <c r="J29" s="431">
        <v>6.38</v>
      </c>
      <c r="K29" s="431">
        <v>6.04</v>
      </c>
      <c r="L29" s="431">
        <v>5.87</v>
      </c>
      <c r="M29" s="431">
        <v>5.42</v>
      </c>
      <c r="N29" s="431">
        <v>5.44</v>
      </c>
      <c r="O29" s="431">
        <v>5.15</v>
      </c>
      <c r="P29" s="431">
        <v>4.47</v>
      </c>
      <c r="Q29" s="179">
        <f t="shared" si="1"/>
        <v>5.8324999999999996</v>
      </c>
      <c r="R29" s="179" t="s">
        <v>994</v>
      </c>
    </row>
    <row r="30" spans="1:18" x14ac:dyDescent="0.15">
      <c r="A30" s="179" t="str">
        <f t="shared" si="0"/>
        <v>Aguascalientes_Flat Surface_112.5</v>
      </c>
      <c r="B30" s="501" t="s">
        <v>615</v>
      </c>
      <c r="C30" s="429">
        <v>0</v>
      </c>
      <c r="D30" s="429">
        <v>112.5</v>
      </c>
      <c r="E30" s="431">
        <v>4.57</v>
      </c>
      <c r="F30" s="431">
        <v>5.67</v>
      </c>
      <c r="G30" s="431">
        <v>6.77</v>
      </c>
      <c r="H30" s="431">
        <v>7.07</v>
      </c>
      <c r="I30" s="431">
        <v>7.14</v>
      </c>
      <c r="J30" s="431">
        <v>6.38</v>
      </c>
      <c r="K30" s="431">
        <v>6.04</v>
      </c>
      <c r="L30" s="431">
        <v>5.87</v>
      </c>
      <c r="M30" s="431">
        <v>5.42</v>
      </c>
      <c r="N30" s="431">
        <v>5.44</v>
      </c>
      <c r="O30" s="431">
        <v>5.15</v>
      </c>
      <c r="P30" s="431">
        <v>4.47</v>
      </c>
      <c r="Q30" s="179">
        <f t="shared" si="1"/>
        <v>5.8324999999999996</v>
      </c>
      <c r="R30" s="179" t="s">
        <v>994</v>
      </c>
    </row>
    <row r="31" spans="1:18" x14ac:dyDescent="0.15">
      <c r="A31" s="179" t="str">
        <f t="shared" si="0"/>
        <v>Aguascalientes_Flat Surface_135</v>
      </c>
      <c r="B31" s="501" t="s">
        <v>615</v>
      </c>
      <c r="C31" s="429">
        <v>0</v>
      </c>
      <c r="D31" s="429">
        <v>135</v>
      </c>
      <c r="E31" s="431">
        <v>4.57</v>
      </c>
      <c r="F31" s="431">
        <v>5.67</v>
      </c>
      <c r="G31" s="431">
        <v>6.77</v>
      </c>
      <c r="H31" s="431">
        <v>7.07</v>
      </c>
      <c r="I31" s="431">
        <v>7.14</v>
      </c>
      <c r="J31" s="431">
        <v>6.38</v>
      </c>
      <c r="K31" s="431">
        <v>6.04</v>
      </c>
      <c r="L31" s="431">
        <v>5.87</v>
      </c>
      <c r="M31" s="431">
        <v>5.42</v>
      </c>
      <c r="N31" s="431">
        <v>5.44</v>
      </c>
      <c r="O31" s="431">
        <v>5.15</v>
      </c>
      <c r="P31" s="431">
        <v>4.47</v>
      </c>
      <c r="Q31" s="179">
        <f t="shared" si="1"/>
        <v>5.8324999999999996</v>
      </c>
      <c r="R31" s="179" t="s">
        <v>994</v>
      </c>
    </row>
    <row r="32" spans="1:18" x14ac:dyDescent="0.15">
      <c r="A32" s="179" t="str">
        <f t="shared" si="0"/>
        <v>Aguascalientes_Flat Surface_157.5</v>
      </c>
      <c r="B32" s="501" t="s">
        <v>615</v>
      </c>
      <c r="C32" s="429">
        <v>0</v>
      </c>
      <c r="D32" s="429">
        <v>157.5</v>
      </c>
      <c r="E32" s="431">
        <v>4.57</v>
      </c>
      <c r="F32" s="431">
        <v>5.67</v>
      </c>
      <c r="G32" s="431">
        <v>6.77</v>
      </c>
      <c r="H32" s="431">
        <v>7.07</v>
      </c>
      <c r="I32" s="431">
        <v>7.14</v>
      </c>
      <c r="J32" s="431">
        <v>6.38</v>
      </c>
      <c r="K32" s="431">
        <v>6.04</v>
      </c>
      <c r="L32" s="431">
        <v>5.87</v>
      </c>
      <c r="M32" s="431">
        <v>5.42</v>
      </c>
      <c r="N32" s="431">
        <v>5.44</v>
      </c>
      <c r="O32" s="431">
        <v>5.15</v>
      </c>
      <c r="P32" s="431">
        <v>4.47</v>
      </c>
      <c r="Q32" s="179">
        <f t="shared" si="1"/>
        <v>5.8324999999999996</v>
      </c>
      <c r="R32" s="179" t="s">
        <v>994</v>
      </c>
    </row>
    <row r="33" spans="1:18" x14ac:dyDescent="0.15">
      <c r="A33" s="179" t="str">
        <f t="shared" si="0"/>
        <v>Aguascalientes_Flat Surface_180</v>
      </c>
      <c r="B33" s="501" t="s">
        <v>615</v>
      </c>
      <c r="C33" s="429">
        <v>0</v>
      </c>
      <c r="D33" s="429">
        <v>180</v>
      </c>
      <c r="E33" s="431">
        <v>4.57</v>
      </c>
      <c r="F33" s="431">
        <v>5.67</v>
      </c>
      <c r="G33" s="431">
        <v>6.77</v>
      </c>
      <c r="H33" s="431">
        <v>7.07</v>
      </c>
      <c r="I33" s="431">
        <v>7.14</v>
      </c>
      <c r="J33" s="431">
        <v>6.38</v>
      </c>
      <c r="K33" s="431">
        <v>6.04</v>
      </c>
      <c r="L33" s="431">
        <v>5.87</v>
      </c>
      <c r="M33" s="431">
        <v>5.42</v>
      </c>
      <c r="N33" s="431">
        <v>5.44</v>
      </c>
      <c r="O33" s="431">
        <v>5.15</v>
      </c>
      <c r="P33" s="431">
        <v>4.47</v>
      </c>
      <c r="Q33" s="179">
        <f t="shared" si="1"/>
        <v>5.8324999999999996</v>
      </c>
      <c r="R33" s="179" t="s">
        <v>994</v>
      </c>
    </row>
    <row r="34" spans="1:18" x14ac:dyDescent="0.15">
      <c r="A34" s="179" t="str">
        <f t="shared" si="0"/>
        <v>Aguascalientes_Flat Surface_202.5</v>
      </c>
      <c r="B34" s="501" t="s">
        <v>615</v>
      </c>
      <c r="C34" s="429">
        <v>0</v>
      </c>
      <c r="D34" s="429">
        <v>202.5</v>
      </c>
      <c r="E34" s="431">
        <v>4.57</v>
      </c>
      <c r="F34" s="431">
        <v>5.67</v>
      </c>
      <c r="G34" s="431">
        <v>6.77</v>
      </c>
      <c r="H34" s="431">
        <v>7.07</v>
      </c>
      <c r="I34" s="431">
        <v>7.14</v>
      </c>
      <c r="J34" s="431">
        <v>6.38</v>
      </c>
      <c r="K34" s="431">
        <v>6.04</v>
      </c>
      <c r="L34" s="431">
        <v>5.87</v>
      </c>
      <c r="M34" s="431">
        <v>5.42</v>
      </c>
      <c r="N34" s="431">
        <v>5.44</v>
      </c>
      <c r="O34" s="431">
        <v>5.15</v>
      </c>
      <c r="P34" s="431">
        <v>4.47</v>
      </c>
      <c r="Q34" s="179">
        <f t="shared" si="1"/>
        <v>5.8324999999999996</v>
      </c>
      <c r="R34" s="179" t="s">
        <v>994</v>
      </c>
    </row>
    <row r="35" spans="1:18" x14ac:dyDescent="0.15">
      <c r="A35" s="179" t="str">
        <f t="shared" si="0"/>
        <v>Aguascalientes_Flat Surface_225</v>
      </c>
      <c r="B35" s="501" t="s">
        <v>615</v>
      </c>
      <c r="C35" s="429">
        <v>0</v>
      </c>
      <c r="D35" s="429">
        <v>225</v>
      </c>
      <c r="E35" s="431">
        <v>4.57</v>
      </c>
      <c r="F35" s="431">
        <v>5.67</v>
      </c>
      <c r="G35" s="431">
        <v>6.77</v>
      </c>
      <c r="H35" s="431">
        <v>7.07</v>
      </c>
      <c r="I35" s="431">
        <v>7.14</v>
      </c>
      <c r="J35" s="431">
        <v>6.38</v>
      </c>
      <c r="K35" s="431">
        <v>6.04</v>
      </c>
      <c r="L35" s="431">
        <v>5.87</v>
      </c>
      <c r="M35" s="431">
        <v>5.42</v>
      </c>
      <c r="N35" s="431">
        <v>5.44</v>
      </c>
      <c r="O35" s="431">
        <v>5.15</v>
      </c>
      <c r="P35" s="431">
        <v>4.47</v>
      </c>
      <c r="Q35" s="179">
        <f t="shared" si="1"/>
        <v>5.8324999999999996</v>
      </c>
      <c r="R35" s="179" t="s">
        <v>994</v>
      </c>
    </row>
    <row r="36" spans="1:18" x14ac:dyDescent="0.15">
      <c r="A36" s="179" t="str">
        <f t="shared" si="0"/>
        <v>Aguascalientes_Flat Surface_247.5</v>
      </c>
      <c r="B36" s="501" t="s">
        <v>615</v>
      </c>
      <c r="C36" s="429">
        <v>0</v>
      </c>
      <c r="D36" s="429">
        <v>247.5</v>
      </c>
      <c r="E36" s="431">
        <v>4.57</v>
      </c>
      <c r="F36" s="431">
        <v>5.67</v>
      </c>
      <c r="G36" s="431">
        <v>6.77</v>
      </c>
      <c r="H36" s="431">
        <v>7.07</v>
      </c>
      <c r="I36" s="431">
        <v>7.14</v>
      </c>
      <c r="J36" s="431">
        <v>6.38</v>
      </c>
      <c r="K36" s="431">
        <v>6.04</v>
      </c>
      <c r="L36" s="431">
        <v>5.87</v>
      </c>
      <c r="M36" s="431">
        <v>5.42</v>
      </c>
      <c r="N36" s="431">
        <v>5.44</v>
      </c>
      <c r="O36" s="431">
        <v>5.15</v>
      </c>
      <c r="P36" s="431">
        <v>4.47</v>
      </c>
      <c r="Q36" s="179">
        <f t="shared" si="1"/>
        <v>5.8324999999999996</v>
      </c>
      <c r="R36" s="179" t="s">
        <v>994</v>
      </c>
    </row>
    <row r="37" spans="1:18" x14ac:dyDescent="0.15">
      <c r="A37" s="179" t="str">
        <f t="shared" si="0"/>
        <v>Aguascalientes_Flat Surface_270</v>
      </c>
      <c r="B37" s="501" t="s">
        <v>615</v>
      </c>
      <c r="C37" s="429">
        <v>0</v>
      </c>
      <c r="D37" s="429">
        <v>270</v>
      </c>
      <c r="E37" s="431">
        <v>4.57</v>
      </c>
      <c r="F37" s="431">
        <v>5.67</v>
      </c>
      <c r="G37" s="431">
        <v>6.77</v>
      </c>
      <c r="H37" s="431">
        <v>7.07</v>
      </c>
      <c r="I37" s="431">
        <v>7.14</v>
      </c>
      <c r="J37" s="431">
        <v>6.38</v>
      </c>
      <c r="K37" s="431">
        <v>6.04</v>
      </c>
      <c r="L37" s="431">
        <v>5.87</v>
      </c>
      <c r="M37" s="431">
        <v>5.42</v>
      </c>
      <c r="N37" s="431">
        <v>5.44</v>
      </c>
      <c r="O37" s="431">
        <v>5.15</v>
      </c>
      <c r="P37" s="431">
        <v>4.47</v>
      </c>
      <c r="Q37" s="179">
        <f t="shared" si="1"/>
        <v>5.8324999999999996</v>
      </c>
      <c r="R37" s="179" t="s">
        <v>994</v>
      </c>
    </row>
    <row r="38" spans="1:18" x14ac:dyDescent="0.15">
      <c r="A38" s="179" t="str">
        <f t="shared" si="0"/>
        <v>Aguascalientes_Optimal Summer_90</v>
      </c>
      <c r="B38" s="501" t="s">
        <v>615</v>
      </c>
      <c r="C38" s="429">
        <v>7</v>
      </c>
      <c r="D38" s="429">
        <v>90</v>
      </c>
      <c r="E38" s="431">
        <v>3.96</v>
      </c>
      <c r="F38" s="431">
        <v>4.83</v>
      </c>
      <c r="G38" s="431">
        <v>5.61</v>
      </c>
      <c r="H38" s="431">
        <v>5.7</v>
      </c>
      <c r="I38" s="431">
        <v>5.65</v>
      </c>
      <c r="J38" s="431">
        <v>5.15</v>
      </c>
      <c r="K38" s="431">
        <v>4.7699999999999996</v>
      </c>
      <c r="L38" s="431">
        <v>4.7</v>
      </c>
      <c r="M38" s="431">
        <v>4.42</v>
      </c>
      <c r="N38" s="431">
        <v>4.57</v>
      </c>
      <c r="O38" s="431">
        <v>4.4800000000000004</v>
      </c>
      <c r="P38" s="431">
        <v>3.91</v>
      </c>
      <c r="Q38" s="179">
        <f t="shared" si="1"/>
        <v>4.8125</v>
      </c>
      <c r="R38" s="179" t="s">
        <v>958</v>
      </c>
    </row>
    <row r="39" spans="1:18" x14ac:dyDescent="0.15">
      <c r="A39" s="179" t="str">
        <f t="shared" si="0"/>
        <v>Aguascalientes_Optimal Summer_112.5</v>
      </c>
      <c r="B39" s="501" t="s">
        <v>615</v>
      </c>
      <c r="C39" s="429">
        <v>7</v>
      </c>
      <c r="D39" s="429">
        <v>112.5</v>
      </c>
      <c r="E39" s="431">
        <v>4.33</v>
      </c>
      <c r="F39" s="431">
        <v>5.28</v>
      </c>
      <c r="G39" s="431">
        <v>6.13</v>
      </c>
      <c r="H39" s="431">
        <v>6.24</v>
      </c>
      <c r="I39" s="431">
        <v>6.18</v>
      </c>
      <c r="J39" s="431">
        <v>5.64</v>
      </c>
      <c r="K39" s="431">
        <v>5.22</v>
      </c>
      <c r="L39" s="431">
        <v>5.14</v>
      </c>
      <c r="M39" s="431">
        <v>4.84</v>
      </c>
      <c r="N39" s="431">
        <v>5</v>
      </c>
      <c r="O39" s="431">
        <v>4.9000000000000004</v>
      </c>
      <c r="P39" s="431">
        <v>4.28</v>
      </c>
      <c r="Q39" s="179">
        <f t="shared" si="1"/>
        <v>5.2649999999999997</v>
      </c>
      <c r="R39" s="179" t="s">
        <v>958</v>
      </c>
    </row>
    <row r="40" spans="1:18" x14ac:dyDescent="0.15">
      <c r="A40" s="179" t="str">
        <f t="shared" si="0"/>
        <v>Aguascalientes_Optimal Summer_135</v>
      </c>
      <c r="B40" s="501" t="s">
        <v>615</v>
      </c>
      <c r="C40" s="429">
        <v>7</v>
      </c>
      <c r="D40" s="429">
        <v>135</v>
      </c>
      <c r="E40" s="431">
        <v>4.7</v>
      </c>
      <c r="F40" s="431">
        <v>5.74</v>
      </c>
      <c r="G40" s="431">
        <v>6.66</v>
      </c>
      <c r="H40" s="431">
        <v>6.77</v>
      </c>
      <c r="I40" s="431">
        <v>6.71</v>
      </c>
      <c r="J40" s="431">
        <v>6.12</v>
      </c>
      <c r="K40" s="431">
        <v>5.66</v>
      </c>
      <c r="L40" s="431">
        <v>5.58</v>
      </c>
      <c r="M40" s="431">
        <v>5.25</v>
      </c>
      <c r="N40" s="431">
        <v>5.42</v>
      </c>
      <c r="O40" s="431">
        <v>5.32</v>
      </c>
      <c r="P40" s="431">
        <v>4.6500000000000004</v>
      </c>
      <c r="Q40" s="179">
        <f t="shared" si="1"/>
        <v>5.7149999999999999</v>
      </c>
      <c r="R40" s="179" t="s">
        <v>958</v>
      </c>
    </row>
    <row r="41" spans="1:18" x14ac:dyDescent="0.15">
      <c r="A41" s="179" t="str">
        <f t="shared" si="0"/>
        <v>Aguascalientes_Optimal Summer_157.5</v>
      </c>
      <c r="B41" s="501" t="s">
        <v>615</v>
      </c>
      <c r="C41" s="429">
        <v>7</v>
      </c>
      <c r="D41" s="429">
        <v>157.5</v>
      </c>
      <c r="E41" s="431">
        <v>4.83</v>
      </c>
      <c r="F41" s="431">
        <v>5.89</v>
      </c>
      <c r="G41" s="431">
        <v>6.83</v>
      </c>
      <c r="H41" s="431">
        <v>6.95</v>
      </c>
      <c r="I41" s="431">
        <v>6.88</v>
      </c>
      <c r="J41" s="431">
        <v>6.28</v>
      </c>
      <c r="K41" s="431">
        <v>5.81</v>
      </c>
      <c r="L41" s="431">
        <v>5.72</v>
      </c>
      <c r="M41" s="431">
        <v>5.39</v>
      </c>
      <c r="N41" s="431">
        <v>5.57</v>
      </c>
      <c r="O41" s="431">
        <v>5.46</v>
      </c>
      <c r="P41" s="431">
        <v>4.7699999999999996</v>
      </c>
      <c r="Q41" s="179">
        <f t="shared" si="1"/>
        <v>5.8649999999999993</v>
      </c>
      <c r="R41" s="179" t="s">
        <v>958</v>
      </c>
    </row>
    <row r="42" spans="1:18" x14ac:dyDescent="0.15">
      <c r="A42" s="179" t="str">
        <f t="shared" si="0"/>
        <v>Aguascalientes_Optimal Summer_180</v>
      </c>
      <c r="B42" s="501" t="s">
        <v>615</v>
      </c>
      <c r="C42" s="429">
        <v>7</v>
      </c>
      <c r="D42" s="429">
        <v>180</v>
      </c>
      <c r="E42" s="431">
        <v>4.95</v>
      </c>
      <c r="F42" s="431">
        <v>6.04</v>
      </c>
      <c r="G42" s="431">
        <v>7.01</v>
      </c>
      <c r="H42" s="431">
        <v>7.13</v>
      </c>
      <c r="I42" s="431">
        <v>7.06</v>
      </c>
      <c r="J42" s="431">
        <v>6.44</v>
      </c>
      <c r="K42" s="431">
        <v>5.96</v>
      </c>
      <c r="L42" s="431">
        <v>5.87</v>
      </c>
      <c r="M42" s="431">
        <v>5.53</v>
      </c>
      <c r="N42" s="431">
        <v>5.71</v>
      </c>
      <c r="O42" s="431">
        <v>5.6</v>
      </c>
      <c r="P42" s="431">
        <v>4.8899999999999997</v>
      </c>
      <c r="Q42" s="179">
        <f t="shared" si="1"/>
        <v>6.0158333333333331</v>
      </c>
      <c r="R42" s="179" t="s">
        <v>958</v>
      </c>
    </row>
    <row r="43" spans="1:18" x14ac:dyDescent="0.15">
      <c r="A43" s="179" t="str">
        <f t="shared" si="0"/>
        <v>Aguascalientes_Optimal Summer_202.5</v>
      </c>
      <c r="B43" s="501" t="s">
        <v>615</v>
      </c>
      <c r="C43" s="429">
        <v>7</v>
      </c>
      <c r="D43" s="429">
        <v>202.5</v>
      </c>
      <c r="E43" s="431">
        <v>4.83</v>
      </c>
      <c r="F43" s="431">
        <v>5.89</v>
      </c>
      <c r="G43" s="431">
        <v>6.83</v>
      </c>
      <c r="H43" s="431">
        <v>6.95</v>
      </c>
      <c r="I43" s="431">
        <v>6.88</v>
      </c>
      <c r="J43" s="431">
        <v>6.28</v>
      </c>
      <c r="K43" s="431">
        <v>5.81</v>
      </c>
      <c r="L43" s="431">
        <v>5.72</v>
      </c>
      <c r="M43" s="431">
        <v>5.39</v>
      </c>
      <c r="N43" s="431">
        <v>5.57</v>
      </c>
      <c r="O43" s="431">
        <v>5.46</v>
      </c>
      <c r="P43" s="431">
        <v>4.7699999999999996</v>
      </c>
      <c r="Q43" s="179">
        <f t="shared" si="1"/>
        <v>5.8649999999999993</v>
      </c>
      <c r="R43" s="179" t="s">
        <v>958</v>
      </c>
    </row>
    <row r="44" spans="1:18" x14ac:dyDescent="0.15">
      <c r="A44" s="179" t="str">
        <f t="shared" si="0"/>
        <v>Aguascalientes_Optimal Summer_225</v>
      </c>
      <c r="B44" s="501" t="s">
        <v>615</v>
      </c>
      <c r="C44" s="429">
        <v>7</v>
      </c>
      <c r="D44" s="429">
        <v>225</v>
      </c>
      <c r="E44" s="431">
        <v>4.7</v>
      </c>
      <c r="F44" s="431">
        <v>5.74</v>
      </c>
      <c r="G44" s="431">
        <v>6.66</v>
      </c>
      <c r="H44" s="431">
        <v>6.77</v>
      </c>
      <c r="I44" s="431">
        <v>6.71</v>
      </c>
      <c r="J44" s="431">
        <v>6.12</v>
      </c>
      <c r="K44" s="431">
        <v>5.66</v>
      </c>
      <c r="L44" s="431">
        <v>5.58</v>
      </c>
      <c r="M44" s="431">
        <v>5.25</v>
      </c>
      <c r="N44" s="431">
        <v>5.42</v>
      </c>
      <c r="O44" s="431">
        <v>5.32</v>
      </c>
      <c r="P44" s="431">
        <v>4.6500000000000004</v>
      </c>
      <c r="Q44" s="179">
        <f t="shared" si="1"/>
        <v>5.7149999999999999</v>
      </c>
      <c r="R44" s="179" t="s">
        <v>958</v>
      </c>
    </row>
    <row r="45" spans="1:18" x14ac:dyDescent="0.15">
      <c r="A45" s="179" t="str">
        <f t="shared" si="0"/>
        <v>Aguascalientes_Optimal Summer_247.5</v>
      </c>
      <c r="B45" s="501" t="s">
        <v>615</v>
      </c>
      <c r="C45" s="429">
        <v>7</v>
      </c>
      <c r="D45" s="429">
        <v>247.5</v>
      </c>
      <c r="E45" s="431">
        <v>4.33</v>
      </c>
      <c r="F45" s="431">
        <v>5.28</v>
      </c>
      <c r="G45" s="431">
        <v>6.13</v>
      </c>
      <c r="H45" s="431">
        <v>6.24</v>
      </c>
      <c r="I45" s="431">
        <v>6.18</v>
      </c>
      <c r="J45" s="431">
        <v>5.64</v>
      </c>
      <c r="K45" s="431">
        <v>5.22</v>
      </c>
      <c r="L45" s="431">
        <v>5.14</v>
      </c>
      <c r="M45" s="431">
        <v>4.84</v>
      </c>
      <c r="N45" s="431">
        <v>5</v>
      </c>
      <c r="O45" s="431">
        <v>4.9000000000000004</v>
      </c>
      <c r="P45" s="431">
        <v>4.28</v>
      </c>
      <c r="Q45" s="179">
        <f t="shared" si="1"/>
        <v>5.2649999999999997</v>
      </c>
      <c r="R45" s="179" t="s">
        <v>958</v>
      </c>
    </row>
    <row r="46" spans="1:18" x14ac:dyDescent="0.15">
      <c r="A46" s="179" t="str">
        <f t="shared" si="0"/>
        <v>Aguascalientes_Optimal Summer_270</v>
      </c>
      <c r="B46" s="501" t="s">
        <v>615</v>
      </c>
      <c r="C46" s="429">
        <v>7</v>
      </c>
      <c r="D46" s="429">
        <v>270</v>
      </c>
      <c r="E46" s="431">
        <v>3.96</v>
      </c>
      <c r="F46" s="431">
        <v>4.83</v>
      </c>
      <c r="G46" s="431">
        <v>5.61</v>
      </c>
      <c r="H46" s="431">
        <v>5.7</v>
      </c>
      <c r="I46" s="431">
        <v>5.65</v>
      </c>
      <c r="J46" s="431">
        <v>5.15</v>
      </c>
      <c r="K46" s="431">
        <v>4.7699999999999996</v>
      </c>
      <c r="L46" s="431">
        <v>4.7</v>
      </c>
      <c r="M46" s="431">
        <v>4.42</v>
      </c>
      <c r="N46" s="431">
        <v>4.57</v>
      </c>
      <c r="O46" s="431">
        <v>4.4800000000000004</v>
      </c>
      <c r="P46" s="431">
        <v>3.91</v>
      </c>
      <c r="Q46" s="179">
        <f t="shared" si="1"/>
        <v>4.8125</v>
      </c>
      <c r="R46" s="179" t="s">
        <v>958</v>
      </c>
    </row>
    <row r="47" spans="1:18" x14ac:dyDescent="0.15">
      <c r="A47" s="179" t="str">
        <f t="shared" si="0"/>
        <v>Aguascalientes_Optimal Year Round_90</v>
      </c>
      <c r="B47" s="501" t="s">
        <v>615</v>
      </c>
      <c r="C47" s="429">
        <v>22</v>
      </c>
      <c r="D47" s="429">
        <v>90</v>
      </c>
      <c r="E47" s="431">
        <v>4.57</v>
      </c>
      <c r="F47" s="431">
        <v>5.36</v>
      </c>
      <c r="G47" s="431">
        <v>5.87</v>
      </c>
      <c r="H47" s="431">
        <v>5.61</v>
      </c>
      <c r="I47" s="431">
        <v>5.28</v>
      </c>
      <c r="J47" s="431">
        <v>5.08</v>
      </c>
      <c r="K47" s="431">
        <v>4.45</v>
      </c>
      <c r="L47" s="431">
        <v>4.54</v>
      </c>
      <c r="M47" s="431">
        <v>4.47</v>
      </c>
      <c r="N47" s="431">
        <v>4.93</v>
      </c>
      <c r="O47" s="431">
        <v>5.18</v>
      </c>
      <c r="P47" s="431">
        <v>4.59</v>
      </c>
      <c r="Q47" s="179">
        <f t="shared" si="1"/>
        <v>4.9941666666666675</v>
      </c>
      <c r="R47" s="179" t="s">
        <v>993</v>
      </c>
    </row>
    <row r="48" spans="1:18" x14ac:dyDescent="0.15">
      <c r="A48" s="179" t="str">
        <f t="shared" si="0"/>
        <v>Aguascalientes_Optimal Year Round_112.5</v>
      </c>
      <c r="B48" s="501" t="s">
        <v>615</v>
      </c>
      <c r="C48" s="429">
        <v>22</v>
      </c>
      <c r="D48" s="429">
        <v>112.5</v>
      </c>
      <c r="E48" s="431">
        <v>5</v>
      </c>
      <c r="F48" s="431">
        <v>5.86</v>
      </c>
      <c r="G48" s="431">
        <v>6.42</v>
      </c>
      <c r="H48" s="431">
        <v>6.13</v>
      </c>
      <c r="I48" s="431">
        <v>5.78</v>
      </c>
      <c r="J48" s="431">
        <v>5.56</v>
      </c>
      <c r="K48" s="431">
        <v>4.8600000000000003</v>
      </c>
      <c r="L48" s="431">
        <v>4.97</v>
      </c>
      <c r="M48" s="431">
        <v>4.8899999999999997</v>
      </c>
      <c r="N48" s="431">
        <v>5.39</v>
      </c>
      <c r="O48" s="431">
        <v>5.67</v>
      </c>
      <c r="P48" s="431">
        <v>5.0199999999999996</v>
      </c>
      <c r="Q48" s="179">
        <f t="shared" si="1"/>
        <v>5.4624999999999995</v>
      </c>
      <c r="R48" s="179" t="s">
        <v>993</v>
      </c>
    </row>
    <row r="49" spans="1:18" x14ac:dyDescent="0.15">
      <c r="A49" s="179" t="str">
        <f t="shared" si="0"/>
        <v>Aguascalientes_Optimal Year Round_135</v>
      </c>
      <c r="B49" s="501" t="s">
        <v>615</v>
      </c>
      <c r="C49" s="429">
        <v>22</v>
      </c>
      <c r="D49" s="429">
        <v>135</v>
      </c>
      <c r="E49" s="431">
        <v>5.42</v>
      </c>
      <c r="F49" s="431">
        <v>6.36</v>
      </c>
      <c r="G49" s="431">
        <v>6.97</v>
      </c>
      <c r="H49" s="431">
        <v>6.66</v>
      </c>
      <c r="I49" s="431">
        <v>6.27</v>
      </c>
      <c r="J49" s="431">
        <v>6.03</v>
      </c>
      <c r="K49" s="431">
        <v>5.28</v>
      </c>
      <c r="L49" s="431">
        <v>5.4</v>
      </c>
      <c r="M49" s="431">
        <v>5.31</v>
      </c>
      <c r="N49" s="431">
        <v>5.85</v>
      </c>
      <c r="O49" s="431">
        <v>6.16</v>
      </c>
      <c r="P49" s="431">
        <v>5.45</v>
      </c>
      <c r="Q49" s="179">
        <f t="shared" si="1"/>
        <v>5.9300000000000006</v>
      </c>
      <c r="R49" s="179" t="s">
        <v>993</v>
      </c>
    </row>
    <row r="50" spans="1:18" x14ac:dyDescent="0.15">
      <c r="A50" s="179" t="str">
        <f t="shared" si="0"/>
        <v>Aguascalientes_Optimal Year Round_157.5</v>
      </c>
      <c r="B50" s="501" t="s">
        <v>615</v>
      </c>
      <c r="C50" s="429">
        <v>22</v>
      </c>
      <c r="D50" s="429">
        <v>157.5</v>
      </c>
      <c r="E50" s="431">
        <v>5.57</v>
      </c>
      <c r="F50" s="431">
        <v>6.53</v>
      </c>
      <c r="G50" s="431">
        <v>7.16</v>
      </c>
      <c r="H50" s="431">
        <v>6.83</v>
      </c>
      <c r="I50" s="431">
        <v>6.44</v>
      </c>
      <c r="J50" s="431">
        <v>6.19</v>
      </c>
      <c r="K50" s="431">
        <v>5.42</v>
      </c>
      <c r="L50" s="431">
        <v>5.54</v>
      </c>
      <c r="M50" s="431">
        <v>5.45</v>
      </c>
      <c r="N50" s="431">
        <v>6.01</v>
      </c>
      <c r="O50" s="431">
        <v>6.32</v>
      </c>
      <c r="P50" s="431">
        <v>5.6</v>
      </c>
      <c r="Q50" s="179">
        <f t="shared" si="1"/>
        <v>6.0883333333333338</v>
      </c>
      <c r="R50" s="179" t="s">
        <v>993</v>
      </c>
    </row>
    <row r="51" spans="1:18" x14ac:dyDescent="0.15">
      <c r="A51" s="179" t="str">
        <f t="shared" si="0"/>
        <v>Aguascalientes_Optimal Year Round_180</v>
      </c>
      <c r="B51" s="501" t="s">
        <v>615</v>
      </c>
      <c r="C51" s="429">
        <v>22</v>
      </c>
      <c r="D51" s="429">
        <v>180</v>
      </c>
      <c r="E51" s="431">
        <v>5.71</v>
      </c>
      <c r="F51" s="431">
        <v>6.7</v>
      </c>
      <c r="G51" s="431">
        <v>7.34</v>
      </c>
      <c r="H51" s="431">
        <v>7.01</v>
      </c>
      <c r="I51" s="431">
        <v>6.6</v>
      </c>
      <c r="J51" s="431">
        <v>6.35</v>
      </c>
      <c r="K51" s="431">
        <v>5.56</v>
      </c>
      <c r="L51" s="431">
        <v>5.68</v>
      </c>
      <c r="M51" s="431">
        <v>5.59</v>
      </c>
      <c r="N51" s="431">
        <v>6.16</v>
      </c>
      <c r="O51" s="431">
        <v>6.48</v>
      </c>
      <c r="P51" s="431">
        <v>5.74</v>
      </c>
      <c r="Q51" s="179">
        <f t="shared" si="1"/>
        <v>6.2433333333333332</v>
      </c>
      <c r="R51" s="179" t="s">
        <v>993</v>
      </c>
    </row>
    <row r="52" spans="1:18" x14ac:dyDescent="0.15">
      <c r="A52" s="179" t="str">
        <f t="shared" si="0"/>
        <v>Aguascalientes_Optimal Year Round_202.5</v>
      </c>
      <c r="B52" s="501" t="s">
        <v>615</v>
      </c>
      <c r="C52" s="429">
        <v>22</v>
      </c>
      <c r="D52" s="429">
        <v>202.5</v>
      </c>
      <c r="E52" s="431">
        <v>5.57</v>
      </c>
      <c r="F52" s="431">
        <v>6.53</v>
      </c>
      <c r="G52" s="431">
        <v>7.16</v>
      </c>
      <c r="H52" s="431">
        <v>6.83</v>
      </c>
      <c r="I52" s="431">
        <v>6.44</v>
      </c>
      <c r="J52" s="431">
        <v>6.19</v>
      </c>
      <c r="K52" s="431">
        <v>5.42</v>
      </c>
      <c r="L52" s="431">
        <v>5.54</v>
      </c>
      <c r="M52" s="431">
        <v>5.45</v>
      </c>
      <c r="N52" s="431">
        <v>6.01</v>
      </c>
      <c r="O52" s="431">
        <v>6.32</v>
      </c>
      <c r="P52" s="431">
        <v>5.6</v>
      </c>
      <c r="Q52" s="179">
        <f t="shared" si="1"/>
        <v>6.0883333333333338</v>
      </c>
      <c r="R52" s="179" t="s">
        <v>993</v>
      </c>
    </row>
    <row r="53" spans="1:18" x14ac:dyDescent="0.15">
      <c r="A53" s="179" t="str">
        <f t="shared" si="0"/>
        <v>Aguascalientes_Optimal Year Round_225</v>
      </c>
      <c r="B53" s="501" t="s">
        <v>615</v>
      </c>
      <c r="C53" s="429">
        <v>22</v>
      </c>
      <c r="D53" s="429">
        <v>225</v>
      </c>
      <c r="E53" s="431">
        <v>5.42</v>
      </c>
      <c r="F53" s="431">
        <v>6.36</v>
      </c>
      <c r="G53" s="431">
        <v>6.97</v>
      </c>
      <c r="H53" s="431">
        <v>6.66</v>
      </c>
      <c r="I53" s="431">
        <v>6.27</v>
      </c>
      <c r="J53" s="431">
        <v>6.03</v>
      </c>
      <c r="K53" s="431">
        <v>5.28</v>
      </c>
      <c r="L53" s="431">
        <v>5.4</v>
      </c>
      <c r="M53" s="431">
        <v>5.31</v>
      </c>
      <c r="N53" s="431">
        <v>5.85</v>
      </c>
      <c r="O53" s="431">
        <v>6.16</v>
      </c>
      <c r="P53" s="431">
        <v>5.45</v>
      </c>
      <c r="Q53" s="179">
        <f t="shared" si="1"/>
        <v>5.9300000000000006</v>
      </c>
      <c r="R53" s="179" t="s">
        <v>993</v>
      </c>
    </row>
    <row r="54" spans="1:18" x14ac:dyDescent="0.15">
      <c r="A54" s="179" t="str">
        <f t="shared" si="0"/>
        <v>Aguascalientes_Optimal Year Round_247.5</v>
      </c>
      <c r="B54" s="501" t="s">
        <v>615</v>
      </c>
      <c r="C54" s="429">
        <v>22</v>
      </c>
      <c r="D54" s="429">
        <v>247.5</v>
      </c>
      <c r="E54" s="431">
        <v>5</v>
      </c>
      <c r="F54" s="431">
        <v>5.86</v>
      </c>
      <c r="G54" s="431">
        <v>6.42</v>
      </c>
      <c r="H54" s="431">
        <v>6.13</v>
      </c>
      <c r="I54" s="431">
        <v>5.78</v>
      </c>
      <c r="J54" s="431">
        <v>5.56</v>
      </c>
      <c r="K54" s="431">
        <v>4.8600000000000003</v>
      </c>
      <c r="L54" s="431">
        <v>4.97</v>
      </c>
      <c r="M54" s="431">
        <v>4.8899999999999997</v>
      </c>
      <c r="N54" s="431">
        <v>5.39</v>
      </c>
      <c r="O54" s="431">
        <v>5.67</v>
      </c>
      <c r="P54" s="431">
        <v>5.0199999999999996</v>
      </c>
      <c r="Q54" s="179">
        <f t="shared" si="1"/>
        <v>5.4624999999999995</v>
      </c>
      <c r="R54" s="179" t="s">
        <v>993</v>
      </c>
    </row>
    <row r="55" spans="1:18" x14ac:dyDescent="0.15">
      <c r="A55" s="179" t="str">
        <f t="shared" si="0"/>
        <v>Aguascalientes_Optimal Year Round_270</v>
      </c>
      <c r="B55" s="501" t="s">
        <v>615</v>
      </c>
      <c r="C55" s="429">
        <v>22</v>
      </c>
      <c r="D55" s="429">
        <v>270</v>
      </c>
      <c r="E55" s="431">
        <v>4.57</v>
      </c>
      <c r="F55" s="431">
        <v>5.36</v>
      </c>
      <c r="G55" s="431">
        <v>5.87</v>
      </c>
      <c r="H55" s="431">
        <v>5.61</v>
      </c>
      <c r="I55" s="431">
        <v>5.28</v>
      </c>
      <c r="J55" s="431">
        <v>5.08</v>
      </c>
      <c r="K55" s="431">
        <v>4.45</v>
      </c>
      <c r="L55" s="431">
        <v>4.54</v>
      </c>
      <c r="M55" s="431">
        <v>4.47</v>
      </c>
      <c r="N55" s="431">
        <v>4.93</v>
      </c>
      <c r="O55" s="431">
        <v>5.18</v>
      </c>
      <c r="P55" s="431">
        <v>4.59</v>
      </c>
      <c r="Q55" s="179">
        <f t="shared" si="1"/>
        <v>4.9941666666666675</v>
      </c>
      <c r="R55" s="179" t="s">
        <v>993</v>
      </c>
    </row>
    <row r="56" spans="1:18" x14ac:dyDescent="0.15">
      <c r="A56" s="179" t="str">
        <f t="shared" si="0"/>
        <v>Alvaro Obregon_Flat Surface_90</v>
      </c>
      <c r="B56" s="501" t="s">
        <v>1118</v>
      </c>
      <c r="C56" s="429">
        <v>0</v>
      </c>
      <c r="D56" s="429">
        <v>90</v>
      </c>
      <c r="E56" s="431">
        <v>4.74</v>
      </c>
      <c r="F56" s="431">
        <v>5.68</v>
      </c>
      <c r="G56" s="431">
        <v>6.47</v>
      </c>
      <c r="H56" s="431">
        <v>6.38</v>
      </c>
      <c r="I56" s="431">
        <v>6.21</v>
      </c>
      <c r="J56" s="431">
        <v>5.57</v>
      </c>
      <c r="K56" s="431">
        <v>5.48</v>
      </c>
      <c r="L56" s="431">
        <v>5.31</v>
      </c>
      <c r="M56" s="431">
        <v>4.88</v>
      </c>
      <c r="N56" s="431">
        <v>4.87</v>
      </c>
      <c r="O56" s="431">
        <v>4.7699999999999996</v>
      </c>
      <c r="P56" s="431">
        <v>4.34</v>
      </c>
      <c r="Q56" s="179">
        <f t="shared" si="1"/>
        <v>5.3916666666666666</v>
      </c>
      <c r="R56" s="179" t="s">
        <v>994</v>
      </c>
    </row>
    <row r="57" spans="1:18" x14ac:dyDescent="0.15">
      <c r="A57" s="179" t="str">
        <f t="shared" si="0"/>
        <v>Alvaro Obregon_Flat Surface_112.5</v>
      </c>
      <c r="B57" s="501" t="s">
        <v>1118</v>
      </c>
      <c r="C57" s="429">
        <v>0</v>
      </c>
      <c r="D57" s="429">
        <v>112.5</v>
      </c>
      <c r="E57" s="431">
        <v>4.74</v>
      </c>
      <c r="F57" s="431">
        <v>5.68</v>
      </c>
      <c r="G57" s="431">
        <v>6.47</v>
      </c>
      <c r="H57" s="431">
        <v>6.38</v>
      </c>
      <c r="I57" s="431">
        <v>6.21</v>
      </c>
      <c r="J57" s="431">
        <v>5.57</v>
      </c>
      <c r="K57" s="431">
        <v>5.48</v>
      </c>
      <c r="L57" s="431">
        <v>5.31</v>
      </c>
      <c r="M57" s="431">
        <v>4.88</v>
      </c>
      <c r="N57" s="431">
        <v>4.87</v>
      </c>
      <c r="O57" s="431">
        <v>4.7699999999999996</v>
      </c>
      <c r="P57" s="431">
        <v>4.34</v>
      </c>
      <c r="Q57" s="179">
        <f t="shared" si="1"/>
        <v>5.3916666666666666</v>
      </c>
      <c r="R57" s="179" t="s">
        <v>994</v>
      </c>
    </row>
    <row r="58" spans="1:18" x14ac:dyDescent="0.15">
      <c r="A58" s="179" t="str">
        <f t="shared" si="0"/>
        <v>Alvaro Obregon_Flat Surface_135</v>
      </c>
      <c r="B58" s="501" t="s">
        <v>1118</v>
      </c>
      <c r="C58" s="429">
        <v>0</v>
      </c>
      <c r="D58" s="429">
        <v>135</v>
      </c>
      <c r="E58" s="431">
        <v>4.74</v>
      </c>
      <c r="F58" s="431">
        <v>5.68</v>
      </c>
      <c r="G58" s="431">
        <v>6.47</v>
      </c>
      <c r="H58" s="431">
        <v>6.38</v>
      </c>
      <c r="I58" s="431">
        <v>6.21</v>
      </c>
      <c r="J58" s="431">
        <v>5.57</v>
      </c>
      <c r="K58" s="431">
        <v>5.48</v>
      </c>
      <c r="L58" s="431">
        <v>5.31</v>
      </c>
      <c r="M58" s="431">
        <v>4.88</v>
      </c>
      <c r="N58" s="431">
        <v>4.87</v>
      </c>
      <c r="O58" s="431">
        <v>4.7699999999999996</v>
      </c>
      <c r="P58" s="431">
        <v>4.34</v>
      </c>
      <c r="Q58" s="179">
        <f t="shared" si="1"/>
        <v>5.3916666666666666</v>
      </c>
      <c r="R58" s="179" t="s">
        <v>994</v>
      </c>
    </row>
    <row r="59" spans="1:18" x14ac:dyDescent="0.15">
      <c r="A59" s="179" t="str">
        <f t="shared" si="0"/>
        <v>Alvaro Obregon_Flat Surface_157.5</v>
      </c>
      <c r="B59" s="501" t="s">
        <v>1118</v>
      </c>
      <c r="C59" s="429">
        <v>0</v>
      </c>
      <c r="D59" s="429">
        <v>157.5</v>
      </c>
      <c r="E59" s="431">
        <v>4.74</v>
      </c>
      <c r="F59" s="431">
        <v>5.68</v>
      </c>
      <c r="G59" s="431">
        <v>6.47</v>
      </c>
      <c r="H59" s="431">
        <v>6.38</v>
      </c>
      <c r="I59" s="431">
        <v>6.21</v>
      </c>
      <c r="J59" s="431">
        <v>5.57</v>
      </c>
      <c r="K59" s="431">
        <v>5.48</v>
      </c>
      <c r="L59" s="431">
        <v>5.31</v>
      </c>
      <c r="M59" s="431">
        <v>4.88</v>
      </c>
      <c r="N59" s="431">
        <v>4.87</v>
      </c>
      <c r="O59" s="431">
        <v>4.7699999999999996</v>
      </c>
      <c r="P59" s="431">
        <v>4.34</v>
      </c>
      <c r="Q59" s="179">
        <f t="shared" si="1"/>
        <v>5.3916666666666666</v>
      </c>
      <c r="R59" s="179" t="s">
        <v>994</v>
      </c>
    </row>
    <row r="60" spans="1:18" x14ac:dyDescent="0.15">
      <c r="A60" s="179" t="str">
        <f t="shared" si="0"/>
        <v>Alvaro Obregon_Flat Surface_180</v>
      </c>
      <c r="B60" s="501" t="s">
        <v>1118</v>
      </c>
      <c r="C60" s="429">
        <v>0</v>
      </c>
      <c r="D60" s="429">
        <v>180</v>
      </c>
      <c r="E60" s="431">
        <v>4.74</v>
      </c>
      <c r="F60" s="431">
        <v>5.68</v>
      </c>
      <c r="G60" s="431">
        <v>6.47</v>
      </c>
      <c r="H60" s="431">
        <v>6.38</v>
      </c>
      <c r="I60" s="431">
        <v>6.21</v>
      </c>
      <c r="J60" s="431">
        <v>5.57</v>
      </c>
      <c r="K60" s="431">
        <v>5.48</v>
      </c>
      <c r="L60" s="431">
        <v>5.31</v>
      </c>
      <c r="M60" s="431">
        <v>4.88</v>
      </c>
      <c r="N60" s="431">
        <v>4.87</v>
      </c>
      <c r="O60" s="431">
        <v>4.7699999999999996</v>
      </c>
      <c r="P60" s="431">
        <v>4.34</v>
      </c>
      <c r="Q60" s="179">
        <f t="shared" si="1"/>
        <v>5.3916666666666666</v>
      </c>
      <c r="R60" s="179" t="s">
        <v>994</v>
      </c>
    </row>
    <row r="61" spans="1:18" x14ac:dyDescent="0.15">
      <c r="A61" s="179" t="str">
        <f t="shared" si="0"/>
        <v>Alvaro Obregon_Flat Surface_202.5</v>
      </c>
      <c r="B61" s="501" t="s">
        <v>1118</v>
      </c>
      <c r="C61" s="429">
        <v>0</v>
      </c>
      <c r="D61" s="429">
        <v>202.5</v>
      </c>
      <c r="E61" s="431">
        <v>4.74</v>
      </c>
      <c r="F61" s="431">
        <v>5.68</v>
      </c>
      <c r="G61" s="431">
        <v>6.47</v>
      </c>
      <c r="H61" s="431">
        <v>6.38</v>
      </c>
      <c r="I61" s="431">
        <v>6.21</v>
      </c>
      <c r="J61" s="431">
        <v>5.57</v>
      </c>
      <c r="K61" s="431">
        <v>5.48</v>
      </c>
      <c r="L61" s="431">
        <v>5.31</v>
      </c>
      <c r="M61" s="431">
        <v>4.88</v>
      </c>
      <c r="N61" s="431">
        <v>4.87</v>
      </c>
      <c r="O61" s="431">
        <v>4.7699999999999996</v>
      </c>
      <c r="P61" s="431">
        <v>4.34</v>
      </c>
      <c r="Q61" s="179">
        <f t="shared" si="1"/>
        <v>5.3916666666666666</v>
      </c>
      <c r="R61" s="179" t="s">
        <v>994</v>
      </c>
    </row>
    <row r="62" spans="1:18" x14ac:dyDescent="0.15">
      <c r="A62" s="179" t="str">
        <f t="shared" si="0"/>
        <v>Alvaro Obregon_Flat Surface_225</v>
      </c>
      <c r="B62" s="501" t="s">
        <v>1118</v>
      </c>
      <c r="C62" s="429">
        <v>0</v>
      </c>
      <c r="D62" s="429">
        <v>225</v>
      </c>
      <c r="E62" s="431">
        <v>4.74</v>
      </c>
      <c r="F62" s="431">
        <v>5.68</v>
      </c>
      <c r="G62" s="431">
        <v>6.47</v>
      </c>
      <c r="H62" s="431">
        <v>6.38</v>
      </c>
      <c r="I62" s="431">
        <v>6.21</v>
      </c>
      <c r="J62" s="431">
        <v>5.57</v>
      </c>
      <c r="K62" s="431">
        <v>5.48</v>
      </c>
      <c r="L62" s="431">
        <v>5.31</v>
      </c>
      <c r="M62" s="431">
        <v>4.88</v>
      </c>
      <c r="N62" s="431">
        <v>4.87</v>
      </c>
      <c r="O62" s="431">
        <v>4.7699999999999996</v>
      </c>
      <c r="P62" s="431">
        <v>4.34</v>
      </c>
      <c r="Q62" s="179">
        <f t="shared" si="1"/>
        <v>5.3916666666666666</v>
      </c>
      <c r="R62" s="179" t="s">
        <v>994</v>
      </c>
    </row>
    <row r="63" spans="1:18" x14ac:dyDescent="0.15">
      <c r="A63" s="179" t="str">
        <f t="shared" si="0"/>
        <v>Alvaro Obregon_Flat Surface_247.5</v>
      </c>
      <c r="B63" s="501" t="s">
        <v>1118</v>
      </c>
      <c r="C63" s="429">
        <v>0</v>
      </c>
      <c r="D63" s="429">
        <v>247.5</v>
      </c>
      <c r="E63" s="431">
        <v>4.74</v>
      </c>
      <c r="F63" s="431">
        <v>5.68</v>
      </c>
      <c r="G63" s="431">
        <v>6.47</v>
      </c>
      <c r="H63" s="431">
        <v>6.38</v>
      </c>
      <c r="I63" s="431">
        <v>6.21</v>
      </c>
      <c r="J63" s="431">
        <v>5.57</v>
      </c>
      <c r="K63" s="431">
        <v>5.48</v>
      </c>
      <c r="L63" s="431">
        <v>5.31</v>
      </c>
      <c r="M63" s="431">
        <v>4.88</v>
      </c>
      <c r="N63" s="431">
        <v>4.87</v>
      </c>
      <c r="O63" s="431">
        <v>4.7699999999999996</v>
      </c>
      <c r="P63" s="431">
        <v>4.34</v>
      </c>
      <c r="Q63" s="179">
        <f t="shared" si="1"/>
        <v>5.3916666666666666</v>
      </c>
      <c r="R63" s="179" t="s">
        <v>994</v>
      </c>
    </row>
    <row r="64" spans="1:18" x14ac:dyDescent="0.15">
      <c r="A64" s="179" t="str">
        <f t="shared" si="0"/>
        <v>Alvaro Obregon_Flat Surface_270</v>
      </c>
      <c r="B64" s="501" t="s">
        <v>1118</v>
      </c>
      <c r="C64" s="429">
        <v>0</v>
      </c>
      <c r="D64" s="429">
        <v>270</v>
      </c>
      <c r="E64" s="431">
        <v>4.74</v>
      </c>
      <c r="F64" s="431">
        <v>5.68</v>
      </c>
      <c r="G64" s="431">
        <v>6.47</v>
      </c>
      <c r="H64" s="431">
        <v>6.38</v>
      </c>
      <c r="I64" s="431">
        <v>6.21</v>
      </c>
      <c r="J64" s="431">
        <v>5.57</v>
      </c>
      <c r="K64" s="431">
        <v>5.48</v>
      </c>
      <c r="L64" s="431">
        <v>5.31</v>
      </c>
      <c r="M64" s="431">
        <v>4.88</v>
      </c>
      <c r="N64" s="431">
        <v>4.87</v>
      </c>
      <c r="O64" s="431">
        <v>4.7699999999999996</v>
      </c>
      <c r="P64" s="431">
        <v>4.34</v>
      </c>
      <c r="Q64" s="179">
        <f t="shared" si="1"/>
        <v>5.3916666666666666</v>
      </c>
      <c r="R64" s="179" t="s">
        <v>994</v>
      </c>
    </row>
    <row r="65" spans="1:18" x14ac:dyDescent="0.15">
      <c r="A65" s="179" t="str">
        <f t="shared" si="0"/>
        <v>Alvaro Obregon_Optimal Summer_90</v>
      </c>
      <c r="B65" s="501" t="s">
        <v>1118</v>
      </c>
      <c r="C65" s="429">
        <v>4</v>
      </c>
      <c r="D65" s="429">
        <v>90</v>
      </c>
      <c r="E65" s="431">
        <v>4</v>
      </c>
      <c r="F65" s="431">
        <v>4.72</v>
      </c>
      <c r="G65" s="431">
        <v>5.29</v>
      </c>
      <c r="H65" s="431">
        <v>5.13</v>
      </c>
      <c r="I65" s="431">
        <v>4.93</v>
      </c>
      <c r="J65" s="431">
        <v>4.49</v>
      </c>
      <c r="K65" s="431">
        <v>4.41</v>
      </c>
      <c r="L65" s="431">
        <v>4.25</v>
      </c>
      <c r="M65" s="431">
        <v>3.94</v>
      </c>
      <c r="N65" s="431">
        <v>4</v>
      </c>
      <c r="O65" s="431">
        <v>4</v>
      </c>
      <c r="P65" s="431">
        <v>3.66</v>
      </c>
      <c r="Q65" s="179">
        <f t="shared" si="1"/>
        <v>4.4016666666666664</v>
      </c>
      <c r="R65" s="179" t="s">
        <v>958</v>
      </c>
    </row>
    <row r="66" spans="1:18" x14ac:dyDescent="0.15">
      <c r="A66" s="179" t="str">
        <f t="shared" si="0"/>
        <v>Alvaro Obregon_Optimal Summer_112.5</v>
      </c>
      <c r="B66" s="501" t="s">
        <v>1118</v>
      </c>
      <c r="C66" s="429">
        <v>4</v>
      </c>
      <c r="D66" s="429">
        <v>112.5</v>
      </c>
      <c r="E66" s="431">
        <v>4.38</v>
      </c>
      <c r="F66" s="431">
        <v>5.16</v>
      </c>
      <c r="G66" s="431">
        <v>5.78</v>
      </c>
      <c r="H66" s="431">
        <v>5.61</v>
      </c>
      <c r="I66" s="431">
        <v>5.39</v>
      </c>
      <c r="J66" s="431">
        <v>4.91</v>
      </c>
      <c r="K66" s="431">
        <v>4.82</v>
      </c>
      <c r="L66" s="431">
        <v>4.6500000000000004</v>
      </c>
      <c r="M66" s="431">
        <v>4.3099999999999996</v>
      </c>
      <c r="N66" s="431">
        <v>4.38</v>
      </c>
      <c r="O66" s="431">
        <v>4.38</v>
      </c>
      <c r="P66" s="431">
        <v>4</v>
      </c>
      <c r="Q66" s="179">
        <f t="shared" ref="Q66:Q129" si="2">AVERAGE(E66:P66)</f>
        <v>4.8141666666666669</v>
      </c>
      <c r="R66" s="179" t="s">
        <v>958</v>
      </c>
    </row>
    <row r="67" spans="1:18" x14ac:dyDescent="0.15">
      <c r="A67" s="179" t="str">
        <f t="shared" si="0"/>
        <v>Alvaro Obregon_Optimal Summer_135</v>
      </c>
      <c r="B67" s="501" t="s">
        <v>1118</v>
      </c>
      <c r="C67" s="429">
        <v>4</v>
      </c>
      <c r="D67" s="429">
        <v>135</v>
      </c>
      <c r="E67" s="431">
        <v>4.75</v>
      </c>
      <c r="F67" s="431">
        <v>5.6</v>
      </c>
      <c r="G67" s="431">
        <v>6.28</v>
      </c>
      <c r="H67" s="431">
        <v>6.09</v>
      </c>
      <c r="I67" s="431">
        <v>5.85</v>
      </c>
      <c r="J67" s="431">
        <v>5.33</v>
      </c>
      <c r="K67" s="431">
        <v>5.23</v>
      </c>
      <c r="L67" s="431">
        <v>5.04</v>
      </c>
      <c r="M67" s="431">
        <v>4.68</v>
      </c>
      <c r="N67" s="431">
        <v>4.75</v>
      </c>
      <c r="O67" s="431">
        <v>4.75</v>
      </c>
      <c r="P67" s="431">
        <v>4.34</v>
      </c>
      <c r="Q67" s="179">
        <f t="shared" si="2"/>
        <v>5.2241666666666662</v>
      </c>
      <c r="R67" s="179" t="s">
        <v>958</v>
      </c>
    </row>
    <row r="68" spans="1:18" x14ac:dyDescent="0.15">
      <c r="A68" s="179" t="str">
        <f t="shared" si="0"/>
        <v>Alvaro Obregon_Optimal Summer_157.5</v>
      </c>
      <c r="B68" s="501" t="s">
        <v>1118</v>
      </c>
      <c r="C68" s="429">
        <v>4</v>
      </c>
      <c r="D68" s="429">
        <v>157.5</v>
      </c>
      <c r="E68" s="431">
        <v>4.88</v>
      </c>
      <c r="F68" s="431">
        <v>5.75</v>
      </c>
      <c r="G68" s="431">
        <v>6.44</v>
      </c>
      <c r="H68" s="431">
        <v>6.25</v>
      </c>
      <c r="I68" s="431">
        <v>6.01</v>
      </c>
      <c r="J68" s="431">
        <v>5.47</v>
      </c>
      <c r="K68" s="431">
        <v>5.37</v>
      </c>
      <c r="L68" s="431">
        <v>5.18</v>
      </c>
      <c r="M68" s="431">
        <v>4.8099999999999996</v>
      </c>
      <c r="N68" s="431">
        <v>4.88</v>
      </c>
      <c r="O68" s="431">
        <v>4.88</v>
      </c>
      <c r="P68" s="431">
        <v>4.46</v>
      </c>
      <c r="Q68" s="179">
        <f t="shared" si="2"/>
        <v>5.3649999999999993</v>
      </c>
      <c r="R68" s="179" t="s">
        <v>958</v>
      </c>
    </row>
    <row r="69" spans="1:18" x14ac:dyDescent="0.15">
      <c r="A69" s="179" t="str">
        <f t="shared" si="0"/>
        <v>Alvaro Obregon_Optimal Summer_180</v>
      </c>
      <c r="B69" s="501" t="s">
        <v>1118</v>
      </c>
      <c r="C69" s="429">
        <v>4</v>
      </c>
      <c r="D69" s="429">
        <v>180</v>
      </c>
      <c r="E69" s="431">
        <v>5</v>
      </c>
      <c r="F69" s="431">
        <v>5.9</v>
      </c>
      <c r="G69" s="431">
        <v>6.61</v>
      </c>
      <c r="H69" s="431">
        <v>6.41</v>
      </c>
      <c r="I69" s="431">
        <v>6.16</v>
      </c>
      <c r="J69" s="431">
        <v>5.61</v>
      </c>
      <c r="K69" s="431">
        <v>5.51</v>
      </c>
      <c r="L69" s="431">
        <v>5.31</v>
      </c>
      <c r="M69" s="431">
        <v>4.93</v>
      </c>
      <c r="N69" s="431">
        <v>5</v>
      </c>
      <c r="O69" s="431">
        <v>5</v>
      </c>
      <c r="P69" s="431">
        <v>4.57</v>
      </c>
      <c r="Q69" s="179">
        <f t="shared" si="2"/>
        <v>5.5008333333333335</v>
      </c>
      <c r="R69" s="179" t="s">
        <v>958</v>
      </c>
    </row>
    <row r="70" spans="1:18" x14ac:dyDescent="0.15">
      <c r="A70" s="179" t="str">
        <f t="shared" si="0"/>
        <v>Alvaro Obregon_Optimal Summer_202.5</v>
      </c>
      <c r="B70" s="501" t="s">
        <v>1118</v>
      </c>
      <c r="C70" s="429">
        <v>4</v>
      </c>
      <c r="D70" s="429">
        <v>202.5</v>
      </c>
      <c r="E70" s="431">
        <v>4.88</v>
      </c>
      <c r="F70" s="431">
        <v>5.75</v>
      </c>
      <c r="G70" s="431">
        <v>6.44</v>
      </c>
      <c r="H70" s="431">
        <v>6.25</v>
      </c>
      <c r="I70" s="431">
        <v>6.01</v>
      </c>
      <c r="J70" s="431">
        <v>5.47</v>
      </c>
      <c r="K70" s="431">
        <v>5.37</v>
      </c>
      <c r="L70" s="431">
        <v>5.18</v>
      </c>
      <c r="M70" s="431">
        <v>4.8099999999999996</v>
      </c>
      <c r="N70" s="431">
        <v>4.88</v>
      </c>
      <c r="O70" s="431">
        <v>4.88</v>
      </c>
      <c r="P70" s="431">
        <v>4.46</v>
      </c>
      <c r="Q70" s="179">
        <f t="shared" si="2"/>
        <v>5.3649999999999993</v>
      </c>
      <c r="R70" s="179" t="s">
        <v>958</v>
      </c>
    </row>
    <row r="71" spans="1:18" x14ac:dyDescent="0.15">
      <c r="A71" s="179" t="str">
        <f t="shared" si="0"/>
        <v>Alvaro Obregon_Optimal Summer_225</v>
      </c>
      <c r="B71" s="501" t="s">
        <v>1118</v>
      </c>
      <c r="C71" s="429">
        <v>4</v>
      </c>
      <c r="D71" s="429">
        <v>225</v>
      </c>
      <c r="E71" s="431">
        <v>4.75</v>
      </c>
      <c r="F71" s="431">
        <v>5.6</v>
      </c>
      <c r="G71" s="431">
        <v>6.28</v>
      </c>
      <c r="H71" s="431">
        <v>6.09</v>
      </c>
      <c r="I71" s="431">
        <v>5.85</v>
      </c>
      <c r="J71" s="431">
        <v>5.33</v>
      </c>
      <c r="K71" s="431">
        <v>5.23</v>
      </c>
      <c r="L71" s="431">
        <v>5.04</v>
      </c>
      <c r="M71" s="431">
        <v>4.68</v>
      </c>
      <c r="N71" s="431">
        <v>4.75</v>
      </c>
      <c r="O71" s="431">
        <v>4.75</v>
      </c>
      <c r="P71" s="431">
        <v>4.34</v>
      </c>
      <c r="Q71" s="179">
        <f t="shared" si="2"/>
        <v>5.2241666666666662</v>
      </c>
      <c r="R71" s="179" t="s">
        <v>958</v>
      </c>
    </row>
    <row r="72" spans="1:18" x14ac:dyDescent="0.15">
      <c r="A72" s="179" t="str">
        <f t="shared" si="0"/>
        <v>Alvaro Obregon_Optimal Summer_247.5</v>
      </c>
      <c r="B72" s="501" t="s">
        <v>1118</v>
      </c>
      <c r="C72" s="429">
        <v>4</v>
      </c>
      <c r="D72" s="429">
        <v>247.5</v>
      </c>
      <c r="E72" s="431">
        <v>4.38</v>
      </c>
      <c r="F72" s="431">
        <v>5.16</v>
      </c>
      <c r="G72" s="431">
        <v>5.78</v>
      </c>
      <c r="H72" s="431">
        <v>5.61</v>
      </c>
      <c r="I72" s="431">
        <v>5.39</v>
      </c>
      <c r="J72" s="431">
        <v>4.91</v>
      </c>
      <c r="K72" s="431">
        <v>4.82</v>
      </c>
      <c r="L72" s="431">
        <v>4.6500000000000004</v>
      </c>
      <c r="M72" s="431">
        <v>4.3099999999999996</v>
      </c>
      <c r="N72" s="431">
        <v>4.38</v>
      </c>
      <c r="O72" s="431">
        <v>4.38</v>
      </c>
      <c r="P72" s="431">
        <v>4</v>
      </c>
      <c r="Q72" s="179">
        <f t="shared" si="2"/>
        <v>4.8141666666666669</v>
      </c>
      <c r="R72" s="179" t="s">
        <v>958</v>
      </c>
    </row>
    <row r="73" spans="1:18" x14ac:dyDescent="0.15">
      <c r="A73" s="179" t="str">
        <f t="shared" si="0"/>
        <v>Alvaro Obregon_Optimal Summer_270</v>
      </c>
      <c r="B73" s="501" t="s">
        <v>1118</v>
      </c>
      <c r="C73" s="429">
        <v>4</v>
      </c>
      <c r="D73" s="429">
        <v>270</v>
      </c>
      <c r="E73" s="431">
        <v>4</v>
      </c>
      <c r="F73" s="431">
        <v>4.72</v>
      </c>
      <c r="G73" s="431">
        <v>5.29</v>
      </c>
      <c r="H73" s="431">
        <v>5.13</v>
      </c>
      <c r="I73" s="431">
        <v>4.93</v>
      </c>
      <c r="J73" s="431">
        <v>4.49</v>
      </c>
      <c r="K73" s="431">
        <v>4.41</v>
      </c>
      <c r="L73" s="431">
        <v>4.25</v>
      </c>
      <c r="M73" s="431">
        <v>3.94</v>
      </c>
      <c r="N73" s="431">
        <v>4</v>
      </c>
      <c r="O73" s="431">
        <v>4</v>
      </c>
      <c r="P73" s="431">
        <v>3.66</v>
      </c>
      <c r="Q73" s="179">
        <f t="shared" si="2"/>
        <v>4.4016666666666664</v>
      </c>
      <c r="R73" s="179" t="s">
        <v>958</v>
      </c>
    </row>
    <row r="74" spans="1:18" x14ac:dyDescent="0.15">
      <c r="A74" s="179" t="str">
        <f t="shared" si="0"/>
        <v>Alvaro Obregon_Optimal Year Round_90</v>
      </c>
      <c r="B74" s="501" t="s">
        <v>1118</v>
      </c>
      <c r="C74" s="429">
        <v>19</v>
      </c>
      <c r="D74" s="429">
        <v>90</v>
      </c>
      <c r="E74" s="431">
        <v>4.62</v>
      </c>
      <c r="F74" s="431">
        <v>5.21</v>
      </c>
      <c r="G74" s="431">
        <v>5.5</v>
      </c>
      <c r="H74" s="431">
        <v>5.03</v>
      </c>
      <c r="I74" s="431">
        <v>4.63</v>
      </c>
      <c r="J74" s="431">
        <v>4.47</v>
      </c>
      <c r="K74" s="431">
        <v>4.37</v>
      </c>
      <c r="L74" s="431">
        <v>4.1100000000000003</v>
      </c>
      <c r="M74" s="431">
        <v>3.98</v>
      </c>
      <c r="N74" s="431">
        <v>4.26</v>
      </c>
      <c r="O74" s="431">
        <v>4.54</v>
      </c>
      <c r="P74" s="431">
        <v>4.2300000000000004</v>
      </c>
      <c r="Q74" s="179">
        <f t="shared" si="2"/>
        <v>4.5791666666666657</v>
      </c>
      <c r="R74" s="179" t="s">
        <v>993</v>
      </c>
    </row>
    <row r="75" spans="1:18" x14ac:dyDescent="0.15">
      <c r="A75" s="179" t="str">
        <f t="shared" si="0"/>
        <v>Alvaro Obregon_Optimal Year Round_112.5</v>
      </c>
      <c r="B75" s="501" t="s">
        <v>1118</v>
      </c>
      <c r="C75" s="429">
        <v>19</v>
      </c>
      <c r="D75" s="429">
        <v>112.5</v>
      </c>
      <c r="E75" s="431">
        <v>5.0599999999999996</v>
      </c>
      <c r="F75" s="431">
        <v>5.7</v>
      </c>
      <c r="G75" s="431">
        <v>6.02</v>
      </c>
      <c r="H75" s="431">
        <v>5.5</v>
      </c>
      <c r="I75" s="431">
        <v>5.07</v>
      </c>
      <c r="J75" s="431">
        <v>4.8899999999999997</v>
      </c>
      <c r="K75" s="431">
        <v>4.78</v>
      </c>
      <c r="L75" s="431">
        <v>4.5</v>
      </c>
      <c r="M75" s="431">
        <v>4.3499999999999996</v>
      </c>
      <c r="N75" s="431">
        <v>4.66</v>
      </c>
      <c r="O75" s="431">
        <v>4.97</v>
      </c>
      <c r="P75" s="431">
        <v>4.63</v>
      </c>
      <c r="Q75" s="179">
        <f t="shared" si="2"/>
        <v>5.0108333333333333</v>
      </c>
      <c r="R75" s="179" t="s">
        <v>993</v>
      </c>
    </row>
    <row r="76" spans="1:18" x14ac:dyDescent="0.15">
      <c r="A76" s="179" t="str">
        <f t="shared" si="0"/>
        <v>Alvaro Obregon_Optimal Year Round_135</v>
      </c>
      <c r="B76" s="501" t="s">
        <v>1118</v>
      </c>
      <c r="C76" s="429">
        <v>19</v>
      </c>
      <c r="D76" s="429">
        <v>135</v>
      </c>
      <c r="E76" s="431">
        <v>5.49</v>
      </c>
      <c r="F76" s="431">
        <v>6.18</v>
      </c>
      <c r="G76" s="431">
        <v>6.54</v>
      </c>
      <c r="H76" s="431">
        <v>5.98</v>
      </c>
      <c r="I76" s="431">
        <v>5.5</v>
      </c>
      <c r="J76" s="431">
        <v>5.31</v>
      </c>
      <c r="K76" s="431">
        <v>5.19</v>
      </c>
      <c r="L76" s="431">
        <v>4.88</v>
      </c>
      <c r="M76" s="431">
        <v>4.72</v>
      </c>
      <c r="N76" s="431">
        <v>5.0599999999999996</v>
      </c>
      <c r="O76" s="431">
        <v>5.4</v>
      </c>
      <c r="P76" s="431">
        <v>5.03</v>
      </c>
      <c r="Q76" s="179">
        <f t="shared" si="2"/>
        <v>5.44</v>
      </c>
      <c r="R76" s="179" t="s">
        <v>993</v>
      </c>
    </row>
    <row r="77" spans="1:18" x14ac:dyDescent="0.15">
      <c r="A77" s="179" t="str">
        <f t="shared" si="0"/>
        <v>Alvaro Obregon_Optimal Year Round_157.5</v>
      </c>
      <c r="B77" s="501" t="s">
        <v>1118</v>
      </c>
      <c r="C77" s="429">
        <v>19</v>
      </c>
      <c r="D77" s="429">
        <v>157.5</v>
      </c>
      <c r="E77" s="431">
        <v>5.64</v>
      </c>
      <c r="F77" s="431">
        <v>6.35</v>
      </c>
      <c r="G77" s="431">
        <v>6.71</v>
      </c>
      <c r="H77" s="431">
        <v>6.13</v>
      </c>
      <c r="I77" s="431">
        <v>5.65</v>
      </c>
      <c r="J77" s="431">
        <v>5.45</v>
      </c>
      <c r="K77" s="431">
        <v>5.32</v>
      </c>
      <c r="L77" s="431">
        <v>5.01</v>
      </c>
      <c r="M77" s="431">
        <v>4.8499999999999996</v>
      </c>
      <c r="N77" s="431">
        <v>5.2</v>
      </c>
      <c r="O77" s="431">
        <v>5.54</v>
      </c>
      <c r="P77" s="431">
        <v>5.16</v>
      </c>
      <c r="Q77" s="179">
        <f t="shared" si="2"/>
        <v>5.5841666666666674</v>
      </c>
      <c r="R77" s="179" t="s">
        <v>993</v>
      </c>
    </row>
    <row r="78" spans="1:18" x14ac:dyDescent="0.15">
      <c r="A78" s="179" t="str">
        <f t="shared" si="0"/>
        <v>Alvaro Obregon_Optimal Year Round_180</v>
      </c>
      <c r="B78" s="501" t="s">
        <v>1118</v>
      </c>
      <c r="C78" s="429">
        <v>19</v>
      </c>
      <c r="D78" s="429">
        <v>180</v>
      </c>
      <c r="E78" s="431">
        <v>5.78</v>
      </c>
      <c r="F78" s="431">
        <v>6.51</v>
      </c>
      <c r="G78" s="431">
        <v>6.88</v>
      </c>
      <c r="H78" s="431">
        <v>6.29</v>
      </c>
      <c r="I78" s="431">
        <v>5.79</v>
      </c>
      <c r="J78" s="431">
        <v>5.59</v>
      </c>
      <c r="K78" s="431">
        <v>5.46</v>
      </c>
      <c r="L78" s="431">
        <v>5.14</v>
      </c>
      <c r="M78" s="431">
        <v>4.97</v>
      </c>
      <c r="N78" s="431">
        <v>5.33</v>
      </c>
      <c r="O78" s="431">
        <v>5.68</v>
      </c>
      <c r="P78" s="431">
        <v>5.29</v>
      </c>
      <c r="Q78" s="179">
        <f t="shared" si="2"/>
        <v>5.7258333333333331</v>
      </c>
      <c r="R78" s="179" t="s">
        <v>993</v>
      </c>
    </row>
    <row r="79" spans="1:18" x14ac:dyDescent="0.15">
      <c r="A79" s="179" t="str">
        <f t="shared" si="0"/>
        <v>Alvaro Obregon_Optimal Year Round_202.5</v>
      </c>
      <c r="B79" s="501" t="s">
        <v>1118</v>
      </c>
      <c r="C79" s="429">
        <v>19</v>
      </c>
      <c r="D79" s="429">
        <v>202.5</v>
      </c>
      <c r="E79" s="431">
        <v>5.64</v>
      </c>
      <c r="F79" s="431">
        <v>6.35</v>
      </c>
      <c r="G79" s="431">
        <v>6.71</v>
      </c>
      <c r="H79" s="431">
        <v>6.13</v>
      </c>
      <c r="I79" s="431">
        <v>5.65</v>
      </c>
      <c r="J79" s="431">
        <v>5.45</v>
      </c>
      <c r="K79" s="431">
        <v>5.32</v>
      </c>
      <c r="L79" s="431">
        <v>5.01</v>
      </c>
      <c r="M79" s="431">
        <v>4.8499999999999996</v>
      </c>
      <c r="N79" s="431">
        <v>5.2</v>
      </c>
      <c r="O79" s="431">
        <v>5.54</v>
      </c>
      <c r="P79" s="431">
        <v>5.16</v>
      </c>
      <c r="Q79" s="179">
        <f t="shared" si="2"/>
        <v>5.5841666666666674</v>
      </c>
      <c r="R79" s="179" t="s">
        <v>993</v>
      </c>
    </row>
    <row r="80" spans="1:18" x14ac:dyDescent="0.15">
      <c r="A80" s="179" t="str">
        <f t="shared" si="0"/>
        <v>Alvaro Obregon_Optimal Year Round_225</v>
      </c>
      <c r="B80" s="501" t="s">
        <v>1118</v>
      </c>
      <c r="C80" s="429">
        <v>19</v>
      </c>
      <c r="D80" s="429">
        <v>225</v>
      </c>
      <c r="E80" s="431">
        <v>5.49</v>
      </c>
      <c r="F80" s="431">
        <v>6.18</v>
      </c>
      <c r="G80" s="431">
        <v>6.54</v>
      </c>
      <c r="H80" s="431">
        <v>5.98</v>
      </c>
      <c r="I80" s="431">
        <v>5.5</v>
      </c>
      <c r="J80" s="431">
        <v>5.31</v>
      </c>
      <c r="K80" s="431">
        <v>5.19</v>
      </c>
      <c r="L80" s="431">
        <v>4.88</v>
      </c>
      <c r="M80" s="431">
        <v>4.72</v>
      </c>
      <c r="N80" s="431">
        <v>5.0599999999999996</v>
      </c>
      <c r="O80" s="431">
        <v>5.4</v>
      </c>
      <c r="P80" s="431">
        <v>5.03</v>
      </c>
      <c r="Q80" s="179">
        <f t="shared" si="2"/>
        <v>5.44</v>
      </c>
      <c r="R80" s="179" t="s">
        <v>993</v>
      </c>
    </row>
    <row r="81" spans="1:18" x14ac:dyDescent="0.15">
      <c r="A81" s="179" t="str">
        <f t="shared" si="0"/>
        <v>Alvaro Obregon_Optimal Year Round_247.5</v>
      </c>
      <c r="B81" s="501" t="s">
        <v>1118</v>
      </c>
      <c r="C81" s="429">
        <v>19</v>
      </c>
      <c r="D81" s="429">
        <v>247.5</v>
      </c>
      <c r="E81" s="431">
        <v>5.0599999999999996</v>
      </c>
      <c r="F81" s="431">
        <v>5.7</v>
      </c>
      <c r="G81" s="431">
        <v>6.02</v>
      </c>
      <c r="H81" s="431">
        <v>5.5</v>
      </c>
      <c r="I81" s="431">
        <v>5.07</v>
      </c>
      <c r="J81" s="431">
        <v>4.8899999999999997</v>
      </c>
      <c r="K81" s="431">
        <v>4.78</v>
      </c>
      <c r="L81" s="431">
        <v>4.5</v>
      </c>
      <c r="M81" s="431">
        <v>4.3499999999999996</v>
      </c>
      <c r="N81" s="431">
        <v>4.66</v>
      </c>
      <c r="O81" s="431">
        <v>4.97</v>
      </c>
      <c r="P81" s="431">
        <v>4.63</v>
      </c>
      <c r="Q81" s="179">
        <f t="shared" si="2"/>
        <v>5.0108333333333333</v>
      </c>
      <c r="R81" s="179" t="s">
        <v>993</v>
      </c>
    </row>
    <row r="82" spans="1:18" x14ac:dyDescent="0.15">
      <c r="A82" s="179" t="str">
        <f t="shared" si="0"/>
        <v>Alvaro Obregon_Optimal Year Round_270</v>
      </c>
      <c r="B82" s="501" t="s">
        <v>1118</v>
      </c>
      <c r="C82" s="429">
        <v>19</v>
      </c>
      <c r="D82" s="429">
        <v>270</v>
      </c>
      <c r="E82" s="431">
        <v>4.62</v>
      </c>
      <c r="F82" s="431">
        <v>5.21</v>
      </c>
      <c r="G82" s="431">
        <v>5.5</v>
      </c>
      <c r="H82" s="431">
        <v>5.03</v>
      </c>
      <c r="I82" s="431">
        <v>4.63</v>
      </c>
      <c r="J82" s="431">
        <v>4.47</v>
      </c>
      <c r="K82" s="431">
        <v>4.37</v>
      </c>
      <c r="L82" s="431">
        <v>4.1100000000000003</v>
      </c>
      <c r="M82" s="431">
        <v>3.98</v>
      </c>
      <c r="N82" s="431">
        <v>4.26</v>
      </c>
      <c r="O82" s="431">
        <v>4.54</v>
      </c>
      <c r="P82" s="431">
        <v>4.2300000000000004</v>
      </c>
      <c r="Q82" s="179">
        <f t="shared" si="2"/>
        <v>4.5791666666666657</v>
      </c>
      <c r="R82" s="179" t="s">
        <v>993</v>
      </c>
    </row>
    <row r="83" spans="1:18" x14ac:dyDescent="0.15">
      <c r="A83" s="179" t="str">
        <f t="shared" si="0"/>
        <v>Apodaca_Flat Surface_90</v>
      </c>
      <c r="B83" s="501" t="s">
        <v>1119</v>
      </c>
      <c r="C83" s="429">
        <v>0</v>
      </c>
      <c r="D83" s="429">
        <v>90</v>
      </c>
      <c r="E83" s="431">
        <v>3.72</v>
      </c>
      <c r="F83" s="431">
        <v>4.57</v>
      </c>
      <c r="G83" s="431">
        <v>5.66</v>
      </c>
      <c r="H83" s="431">
        <v>5.82</v>
      </c>
      <c r="I83" s="431">
        <v>6.24</v>
      </c>
      <c r="J83" s="431">
        <v>6.16</v>
      </c>
      <c r="K83" s="431">
        <v>6.03</v>
      </c>
      <c r="L83" s="431">
        <v>5.71</v>
      </c>
      <c r="M83" s="431">
        <v>4.9800000000000004</v>
      </c>
      <c r="N83" s="431">
        <v>4.62</v>
      </c>
      <c r="O83" s="431">
        <v>4.07</v>
      </c>
      <c r="P83" s="431">
        <v>3.55</v>
      </c>
      <c r="Q83" s="179">
        <f t="shared" si="2"/>
        <v>5.0941666666666663</v>
      </c>
      <c r="R83" s="179" t="s">
        <v>994</v>
      </c>
    </row>
    <row r="84" spans="1:18" x14ac:dyDescent="0.15">
      <c r="A84" s="179" t="str">
        <f t="shared" si="0"/>
        <v>Apodaca_Flat Surface_112.5</v>
      </c>
      <c r="B84" s="501" t="s">
        <v>1119</v>
      </c>
      <c r="C84" s="429">
        <v>0</v>
      </c>
      <c r="D84" s="429">
        <v>112.5</v>
      </c>
      <c r="E84" s="431">
        <v>3.72</v>
      </c>
      <c r="F84" s="431">
        <v>4.57</v>
      </c>
      <c r="G84" s="431">
        <v>5.66</v>
      </c>
      <c r="H84" s="431">
        <v>5.82</v>
      </c>
      <c r="I84" s="431">
        <v>6.24</v>
      </c>
      <c r="J84" s="431">
        <v>6.16</v>
      </c>
      <c r="K84" s="431">
        <v>6.03</v>
      </c>
      <c r="L84" s="431">
        <v>5.71</v>
      </c>
      <c r="M84" s="431">
        <v>4.9800000000000004</v>
      </c>
      <c r="N84" s="431">
        <v>4.62</v>
      </c>
      <c r="O84" s="431">
        <v>4.07</v>
      </c>
      <c r="P84" s="431">
        <v>3.55</v>
      </c>
      <c r="Q84" s="179">
        <f t="shared" si="2"/>
        <v>5.0941666666666663</v>
      </c>
      <c r="R84" s="179" t="s">
        <v>994</v>
      </c>
    </row>
    <row r="85" spans="1:18" x14ac:dyDescent="0.15">
      <c r="A85" s="179" t="str">
        <f t="shared" si="0"/>
        <v>Apodaca_Flat Surface_135</v>
      </c>
      <c r="B85" s="501" t="s">
        <v>1119</v>
      </c>
      <c r="C85" s="429">
        <v>0</v>
      </c>
      <c r="D85" s="429">
        <v>135</v>
      </c>
      <c r="E85" s="431">
        <v>3.72</v>
      </c>
      <c r="F85" s="431">
        <v>4.57</v>
      </c>
      <c r="G85" s="431">
        <v>5.66</v>
      </c>
      <c r="H85" s="431">
        <v>5.82</v>
      </c>
      <c r="I85" s="431">
        <v>6.24</v>
      </c>
      <c r="J85" s="431">
        <v>6.16</v>
      </c>
      <c r="K85" s="431">
        <v>6.03</v>
      </c>
      <c r="L85" s="431">
        <v>5.71</v>
      </c>
      <c r="M85" s="431">
        <v>4.9800000000000004</v>
      </c>
      <c r="N85" s="431">
        <v>4.62</v>
      </c>
      <c r="O85" s="431">
        <v>4.07</v>
      </c>
      <c r="P85" s="431">
        <v>3.55</v>
      </c>
      <c r="Q85" s="179">
        <f t="shared" si="2"/>
        <v>5.0941666666666663</v>
      </c>
      <c r="R85" s="179" t="s">
        <v>994</v>
      </c>
    </row>
    <row r="86" spans="1:18" x14ac:dyDescent="0.15">
      <c r="A86" s="179" t="str">
        <f t="shared" si="0"/>
        <v>Apodaca_Flat Surface_157.5</v>
      </c>
      <c r="B86" s="501" t="s">
        <v>1119</v>
      </c>
      <c r="C86" s="429">
        <v>0</v>
      </c>
      <c r="D86" s="429">
        <v>157.5</v>
      </c>
      <c r="E86" s="431">
        <v>3.72</v>
      </c>
      <c r="F86" s="431">
        <v>4.57</v>
      </c>
      <c r="G86" s="431">
        <v>5.66</v>
      </c>
      <c r="H86" s="431">
        <v>5.82</v>
      </c>
      <c r="I86" s="431">
        <v>6.24</v>
      </c>
      <c r="J86" s="431">
        <v>6.16</v>
      </c>
      <c r="K86" s="431">
        <v>6.03</v>
      </c>
      <c r="L86" s="431">
        <v>5.71</v>
      </c>
      <c r="M86" s="431">
        <v>4.9800000000000004</v>
      </c>
      <c r="N86" s="431">
        <v>4.62</v>
      </c>
      <c r="O86" s="431">
        <v>4.07</v>
      </c>
      <c r="P86" s="431">
        <v>3.55</v>
      </c>
      <c r="Q86" s="179">
        <f t="shared" si="2"/>
        <v>5.0941666666666663</v>
      </c>
      <c r="R86" s="179" t="s">
        <v>994</v>
      </c>
    </row>
    <row r="87" spans="1:18" x14ac:dyDescent="0.15">
      <c r="A87" s="179" t="str">
        <f t="shared" si="0"/>
        <v>Apodaca_Flat Surface_180</v>
      </c>
      <c r="B87" s="501" t="s">
        <v>1119</v>
      </c>
      <c r="C87" s="429">
        <v>0</v>
      </c>
      <c r="D87" s="429">
        <v>180</v>
      </c>
      <c r="E87" s="431">
        <v>3.72</v>
      </c>
      <c r="F87" s="431">
        <v>4.57</v>
      </c>
      <c r="G87" s="431">
        <v>5.66</v>
      </c>
      <c r="H87" s="431">
        <v>5.82</v>
      </c>
      <c r="I87" s="431">
        <v>6.24</v>
      </c>
      <c r="J87" s="431">
        <v>6.16</v>
      </c>
      <c r="K87" s="431">
        <v>6.03</v>
      </c>
      <c r="L87" s="431">
        <v>5.71</v>
      </c>
      <c r="M87" s="431">
        <v>4.9800000000000004</v>
      </c>
      <c r="N87" s="431">
        <v>4.62</v>
      </c>
      <c r="O87" s="431">
        <v>4.07</v>
      </c>
      <c r="P87" s="431">
        <v>3.55</v>
      </c>
      <c r="Q87" s="179">
        <f t="shared" si="2"/>
        <v>5.0941666666666663</v>
      </c>
      <c r="R87" s="179" t="s">
        <v>994</v>
      </c>
    </row>
    <row r="88" spans="1:18" x14ac:dyDescent="0.15">
      <c r="A88" s="179" t="str">
        <f t="shared" si="0"/>
        <v>Apodaca_Flat Surface_202.5</v>
      </c>
      <c r="B88" s="501" t="s">
        <v>1119</v>
      </c>
      <c r="C88" s="429">
        <v>0</v>
      </c>
      <c r="D88" s="429">
        <v>202.5</v>
      </c>
      <c r="E88" s="431">
        <v>3.72</v>
      </c>
      <c r="F88" s="431">
        <v>4.57</v>
      </c>
      <c r="G88" s="431">
        <v>5.66</v>
      </c>
      <c r="H88" s="431">
        <v>5.82</v>
      </c>
      <c r="I88" s="431">
        <v>6.24</v>
      </c>
      <c r="J88" s="431">
        <v>6.16</v>
      </c>
      <c r="K88" s="431">
        <v>6.03</v>
      </c>
      <c r="L88" s="431">
        <v>5.71</v>
      </c>
      <c r="M88" s="431">
        <v>4.9800000000000004</v>
      </c>
      <c r="N88" s="431">
        <v>4.62</v>
      </c>
      <c r="O88" s="431">
        <v>4.07</v>
      </c>
      <c r="P88" s="431">
        <v>3.55</v>
      </c>
      <c r="Q88" s="179">
        <f t="shared" si="2"/>
        <v>5.0941666666666663</v>
      </c>
      <c r="R88" s="179" t="s">
        <v>994</v>
      </c>
    </row>
    <row r="89" spans="1:18" x14ac:dyDescent="0.15">
      <c r="A89" s="179" t="str">
        <f t="shared" si="0"/>
        <v>Apodaca_Flat Surface_225</v>
      </c>
      <c r="B89" s="501" t="s">
        <v>1119</v>
      </c>
      <c r="C89" s="429">
        <v>0</v>
      </c>
      <c r="D89" s="429">
        <v>225</v>
      </c>
      <c r="E89" s="431">
        <v>3.72</v>
      </c>
      <c r="F89" s="431">
        <v>4.57</v>
      </c>
      <c r="G89" s="431">
        <v>5.66</v>
      </c>
      <c r="H89" s="431">
        <v>5.82</v>
      </c>
      <c r="I89" s="431">
        <v>6.24</v>
      </c>
      <c r="J89" s="431">
        <v>6.16</v>
      </c>
      <c r="K89" s="431">
        <v>6.03</v>
      </c>
      <c r="L89" s="431">
        <v>5.71</v>
      </c>
      <c r="M89" s="431">
        <v>4.9800000000000004</v>
      </c>
      <c r="N89" s="431">
        <v>4.62</v>
      </c>
      <c r="O89" s="431">
        <v>4.07</v>
      </c>
      <c r="P89" s="431">
        <v>3.55</v>
      </c>
      <c r="Q89" s="179">
        <f t="shared" si="2"/>
        <v>5.0941666666666663</v>
      </c>
      <c r="R89" s="179" t="s">
        <v>994</v>
      </c>
    </row>
    <row r="90" spans="1:18" x14ac:dyDescent="0.15">
      <c r="A90" s="179" t="str">
        <f t="shared" si="0"/>
        <v>Apodaca_Flat Surface_247.5</v>
      </c>
      <c r="B90" s="501" t="s">
        <v>1119</v>
      </c>
      <c r="C90" s="429">
        <v>0</v>
      </c>
      <c r="D90" s="429">
        <v>247.5</v>
      </c>
      <c r="E90" s="431">
        <v>3.72</v>
      </c>
      <c r="F90" s="431">
        <v>4.57</v>
      </c>
      <c r="G90" s="431">
        <v>5.66</v>
      </c>
      <c r="H90" s="431">
        <v>5.82</v>
      </c>
      <c r="I90" s="431">
        <v>6.24</v>
      </c>
      <c r="J90" s="431">
        <v>6.16</v>
      </c>
      <c r="K90" s="431">
        <v>6.03</v>
      </c>
      <c r="L90" s="431">
        <v>5.71</v>
      </c>
      <c r="M90" s="431">
        <v>4.9800000000000004</v>
      </c>
      <c r="N90" s="431">
        <v>4.62</v>
      </c>
      <c r="O90" s="431">
        <v>4.07</v>
      </c>
      <c r="P90" s="431">
        <v>3.55</v>
      </c>
      <c r="Q90" s="179">
        <f t="shared" si="2"/>
        <v>5.0941666666666663</v>
      </c>
      <c r="R90" s="179" t="s">
        <v>994</v>
      </c>
    </row>
    <row r="91" spans="1:18" x14ac:dyDescent="0.15">
      <c r="A91" s="179" t="str">
        <f t="shared" si="0"/>
        <v>Apodaca_Flat Surface_270</v>
      </c>
      <c r="B91" s="501" t="s">
        <v>1119</v>
      </c>
      <c r="C91" s="429">
        <v>0</v>
      </c>
      <c r="D91" s="429">
        <v>270</v>
      </c>
      <c r="E91" s="431">
        <v>3.72</v>
      </c>
      <c r="F91" s="431">
        <v>4.57</v>
      </c>
      <c r="G91" s="431">
        <v>5.66</v>
      </c>
      <c r="H91" s="431">
        <v>5.82</v>
      </c>
      <c r="I91" s="431">
        <v>6.24</v>
      </c>
      <c r="J91" s="431">
        <v>6.16</v>
      </c>
      <c r="K91" s="431">
        <v>6.03</v>
      </c>
      <c r="L91" s="431">
        <v>5.71</v>
      </c>
      <c r="M91" s="431">
        <v>4.9800000000000004</v>
      </c>
      <c r="N91" s="431">
        <v>4.62</v>
      </c>
      <c r="O91" s="431">
        <v>4.07</v>
      </c>
      <c r="P91" s="431">
        <v>3.55</v>
      </c>
      <c r="Q91" s="179">
        <f t="shared" si="2"/>
        <v>5.0941666666666663</v>
      </c>
      <c r="R91" s="179" t="s">
        <v>994</v>
      </c>
    </row>
    <row r="92" spans="1:18" x14ac:dyDescent="0.15">
      <c r="A92" s="179" t="str">
        <f t="shared" si="0"/>
        <v>Apodaca_Optimal Summer_90</v>
      </c>
      <c r="B92" s="501" t="s">
        <v>1119</v>
      </c>
      <c r="C92" s="429">
        <v>11</v>
      </c>
      <c r="D92" s="429">
        <v>90</v>
      </c>
      <c r="E92" s="431">
        <v>3.39</v>
      </c>
      <c r="F92" s="431">
        <v>4.03</v>
      </c>
      <c r="G92" s="431">
        <v>4.79</v>
      </c>
      <c r="H92" s="431">
        <v>4.7300000000000004</v>
      </c>
      <c r="I92" s="431">
        <v>4.92</v>
      </c>
      <c r="J92" s="431">
        <v>4.8099999999999996</v>
      </c>
      <c r="K92" s="431">
        <v>4.74</v>
      </c>
      <c r="L92" s="431">
        <v>4.57</v>
      </c>
      <c r="M92" s="431">
        <v>4.12</v>
      </c>
      <c r="N92" s="431">
        <v>4</v>
      </c>
      <c r="O92" s="431">
        <v>3.69</v>
      </c>
      <c r="P92" s="431">
        <v>3.28</v>
      </c>
      <c r="Q92" s="179">
        <f t="shared" si="2"/>
        <v>4.2558333333333325</v>
      </c>
      <c r="R92" s="179" t="s">
        <v>958</v>
      </c>
    </row>
    <row r="93" spans="1:18" x14ac:dyDescent="0.15">
      <c r="A93" s="179" t="str">
        <f t="shared" si="0"/>
        <v>Apodaca_Optimal Summer_112.5</v>
      </c>
      <c r="B93" s="501" t="s">
        <v>1119</v>
      </c>
      <c r="C93" s="429">
        <v>11</v>
      </c>
      <c r="D93" s="429">
        <v>112.5</v>
      </c>
      <c r="E93" s="431">
        <v>3.71</v>
      </c>
      <c r="F93" s="431">
        <v>4.41</v>
      </c>
      <c r="G93" s="431">
        <v>5.24</v>
      </c>
      <c r="H93" s="431">
        <v>5.17</v>
      </c>
      <c r="I93" s="431">
        <v>5.38</v>
      </c>
      <c r="J93" s="431">
        <v>5.26</v>
      </c>
      <c r="K93" s="431">
        <v>5.18</v>
      </c>
      <c r="L93" s="431">
        <v>5</v>
      </c>
      <c r="M93" s="431">
        <v>4.51</v>
      </c>
      <c r="N93" s="431">
        <v>4.38</v>
      </c>
      <c r="O93" s="431">
        <v>4.03</v>
      </c>
      <c r="P93" s="431">
        <v>3.59</v>
      </c>
      <c r="Q93" s="179">
        <f t="shared" si="2"/>
        <v>4.6550000000000002</v>
      </c>
      <c r="R93" s="179" t="s">
        <v>958</v>
      </c>
    </row>
    <row r="94" spans="1:18" x14ac:dyDescent="0.15">
      <c r="A94" s="179" t="str">
        <f t="shared" si="0"/>
        <v>Apodaca_Optimal Summer_135</v>
      </c>
      <c r="B94" s="501" t="s">
        <v>1119</v>
      </c>
      <c r="C94" s="429">
        <v>11</v>
      </c>
      <c r="D94" s="429">
        <v>135</v>
      </c>
      <c r="E94" s="431">
        <v>3.72</v>
      </c>
      <c r="F94" s="431">
        <v>4.57</v>
      </c>
      <c r="G94" s="431">
        <v>5.66</v>
      </c>
      <c r="H94" s="431">
        <v>5.82</v>
      </c>
      <c r="I94" s="431">
        <v>6.24</v>
      </c>
      <c r="J94" s="431">
        <v>6.16</v>
      </c>
      <c r="K94" s="431">
        <v>6.03</v>
      </c>
      <c r="L94" s="431">
        <v>5.71</v>
      </c>
      <c r="M94" s="431">
        <v>4.9800000000000004</v>
      </c>
      <c r="N94" s="431">
        <v>4.62</v>
      </c>
      <c r="O94" s="431">
        <v>4.07</v>
      </c>
      <c r="P94" s="431">
        <v>3.55</v>
      </c>
      <c r="Q94" s="179">
        <f t="shared" si="2"/>
        <v>5.0941666666666663</v>
      </c>
      <c r="R94" s="179" t="s">
        <v>958</v>
      </c>
    </row>
    <row r="95" spans="1:18" x14ac:dyDescent="0.15">
      <c r="A95" s="179" t="str">
        <f t="shared" si="0"/>
        <v>Apodaca_Optimal Summer_157.5</v>
      </c>
      <c r="B95" s="501" t="s">
        <v>1119</v>
      </c>
      <c r="C95" s="429">
        <v>11</v>
      </c>
      <c r="D95" s="429">
        <v>157.5</v>
      </c>
      <c r="E95" s="431">
        <v>4.13</v>
      </c>
      <c r="F95" s="431">
        <v>4.91</v>
      </c>
      <c r="G95" s="431">
        <v>5.84</v>
      </c>
      <c r="H95" s="431">
        <v>5.76</v>
      </c>
      <c r="I95" s="431">
        <v>6</v>
      </c>
      <c r="J95" s="431">
        <v>5.86</v>
      </c>
      <c r="K95" s="431">
        <v>5.77</v>
      </c>
      <c r="L95" s="431">
        <v>5.57</v>
      </c>
      <c r="M95" s="431">
        <v>5.0199999999999996</v>
      </c>
      <c r="N95" s="431">
        <v>4.88</v>
      </c>
      <c r="O95" s="431">
        <v>4.49</v>
      </c>
      <c r="P95" s="431">
        <v>4</v>
      </c>
      <c r="Q95" s="179">
        <f t="shared" si="2"/>
        <v>5.185833333333334</v>
      </c>
      <c r="R95" s="179" t="s">
        <v>958</v>
      </c>
    </row>
    <row r="96" spans="1:18" x14ac:dyDescent="0.15">
      <c r="A96" s="179" t="str">
        <f t="shared" si="0"/>
        <v>Apodaca_Optimal Summer_180</v>
      </c>
      <c r="B96" s="501" t="s">
        <v>1119</v>
      </c>
      <c r="C96" s="429">
        <v>11</v>
      </c>
      <c r="D96" s="429">
        <v>180</v>
      </c>
      <c r="E96" s="431">
        <v>4.24</v>
      </c>
      <c r="F96" s="431">
        <v>5.04</v>
      </c>
      <c r="G96" s="431">
        <v>5.99</v>
      </c>
      <c r="H96" s="431">
        <v>5.91</v>
      </c>
      <c r="I96" s="431">
        <v>6.15</v>
      </c>
      <c r="J96" s="431">
        <v>6.01</v>
      </c>
      <c r="K96" s="431">
        <v>5.92</v>
      </c>
      <c r="L96" s="431">
        <v>5.71</v>
      </c>
      <c r="M96" s="431">
        <v>5.15</v>
      </c>
      <c r="N96" s="431">
        <v>5</v>
      </c>
      <c r="O96" s="431">
        <v>4.6100000000000003</v>
      </c>
      <c r="P96" s="431">
        <v>4.0999999999999996</v>
      </c>
      <c r="Q96" s="179">
        <f t="shared" si="2"/>
        <v>5.3191666666666668</v>
      </c>
      <c r="R96" s="179" t="s">
        <v>958</v>
      </c>
    </row>
    <row r="97" spans="1:18" x14ac:dyDescent="0.15">
      <c r="A97" s="179" t="str">
        <f t="shared" si="0"/>
        <v>Apodaca_Optimal Summer_202.5</v>
      </c>
      <c r="B97" s="501" t="s">
        <v>1119</v>
      </c>
      <c r="C97" s="429">
        <v>11</v>
      </c>
      <c r="D97" s="429">
        <v>202.5</v>
      </c>
      <c r="E97" s="431">
        <v>4.13</v>
      </c>
      <c r="F97" s="431">
        <v>4.91</v>
      </c>
      <c r="G97" s="431">
        <v>5.84</v>
      </c>
      <c r="H97" s="431">
        <v>5.76</v>
      </c>
      <c r="I97" s="431">
        <v>6</v>
      </c>
      <c r="J97" s="431">
        <v>5.86</v>
      </c>
      <c r="K97" s="431">
        <v>5.77</v>
      </c>
      <c r="L97" s="431">
        <v>5.57</v>
      </c>
      <c r="M97" s="431">
        <v>5.0199999999999996</v>
      </c>
      <c r="N97" s="431">
        <v>4.88</v>
      </c>
      <c r="O97" s="431">
        <v>4.49</v>
      </c>
      <c r="P97" s="431">
        <v>4</v>
      </c>
      <c r="Q97" s="179">
        <f t="shared" si="2"/>
        <v>5.185833333333334</v>
      </c>
      <c r="R97" s="179" t="s">
        <v>958</v>
      </c>
    </row>
    <row r="98" spans="1:18" x14ac:dyDescent="0.15">
      <c r="A98" s="179" t="str">
        <f t="shared" si="0"/>
        <v>Apodaca_Optimal Summer_225</v>
      </c>
      <c r="B98" s="501" t="s">
        <v>1119</v>
      </c>
      <c r="C98" s="429">
        <v>11</v>
      </c>
      <c r="D98" s="429">
        <v>225</v>
      </c>
      <c r="E98" s="431">
        <v>3.72</v>
      </c>
      <c r="F98" s="431">
        <v>4.57</v>
      </c>
      <c r="G98" s="431">
        <v>5.66</v>
      </c>
      <c r="H98" s="431">
        <v>5.82</v>
      </c>
      <c r="I98" s="431">
        <v>6.24</v>
      </c>
      <c r="J98" s="431">
        <v>6.16</v>
      </c>
      <c r="K98" s="431">
        <v>6.03</v>
      </c>
      <c r="L98" s="431">
        <v>5.71</v>
      </c>
      <c r="M98" s="431">
        <v>4.9800000000000004</v>
      </c>
      <c r="N98" s="431">
        <v>4.62</v>
      </c>
      <c r="O98" s="431">
        <v>4.07</v>
      </c>
      <c r="P98" s="431">
        <v>3.55</v>
      </c>
      <c r="Q98" s="179">
        <f t="shared" si="2"/>
        <v>5.0941666666666663</v>
      </c>
      <c r="R98" s="179" t="s">
        <v>958</v>
      </c>
    </row>
    <row r="99" spans="1:18" x14ac:dyDescent="0.15">
      <c r="A99" s="179" t="str">
        <f t="shared" si="0"/>
        <v>Apodaca_Optimal Summer_247.5</v>
      </c>
      <c r="B99" s="501" t="s">
        <v>1119</v>
      </c>
      <c r="C99" s="429">
        <v>11</v>
      </c>
      <c r="D99" s="429">
        <v>247.5</v>
      </c>
      <c r="E99" s="431">
        <v>3.71</v>
      </c>
      <c r="F99" s="431">
        <v>4.41</v>
      </c>
      <c r="G99" s="431">
        <v>5.24</v>
      </c>
      <c r="H99" s="431">
        <v>5.17</v>
      </c>
      <c r="I99" s="431">
        <v>5.38</v>
      </c>
      <c r="J99" s="431">
        <v>5.26</v>
      </c>
      <c r="K99" s="431">
        <v>5.18</v>
      </c>
      <c r="L99" s="431">
        <v>5</v>
      </c>
      <c r="M99" s="431">
        <v>4.51</v>
      </c>
      <c r="N99" s="431">
        <v>4.38</v>
      </c>
      <c r="O99" s="431">
        <v>4.03</v>
      </c>
      <c r="P99" s="431">
        <v>3.59</v>
      </c>
      <c r="Q99" s="179">
        <f t="shared" si="2"/>
        <v>4.6550000000000002</v>
      </c>
      <c r="R99" s="179" t="s">
        <v>958</v>
      </c>
    </row>
    <row r="100" spans="1:18" x14ac:dyDescent="0.15">
      <c r="A100" s="179" t="str">
        <f t="shared" si="0"/>
        <v>Apodaca_Optimal Summer_270</v>
      </c>
      <c r="B100" s="501" t="s">
        <v>1119</v>
      </c>
      <c r="C100" s="429">
        <v>11</v>
      </c>
      <c r="D100" s="429">
        <v>270</v>
      </c>
      <c r="E100" s="431">
        <v>3.39</v>
      </c>
      <c r="F100" s="431">
        <v>4.03</v>
      </c>
      <c r="G100" s="431">
        <v>4.79</v>
      </c>
      <c r="H100" s="431">
        <v>4.7300000000000004</v>
      </c>
      <c r="I100" s="431">
        <v>4.92</v>
      </c>
      <c r="J100" s="431">
        <v>4.8099999999999996</v>
      </c>
      <c r="K100" s="431">
        <v>4.74</v>
      </c>
      <c r="L100" s="431">
        <v>4.57</v>
      </c>
      <c r="M100" s="431">
        <v>4.12</v>
      </c>
      <c r="N100" s="431">
        <v>4</v>
      </c>
      <c r="O100" s="431">
        <v>3.69</v>
      </c>
      <c r="P100" s="431">
        <v>3.28</v>
      </c>
      <c r="Q100" s="179">
        <f t="shared" si="2"/>
        <v>4.2558333333333325</v>
      </c>
      <c r="R100" s="179" t="s">
        <v>958</v>
      </c>
    </row>
    <row r="101" spans="1:18" x14ac:dyDescent="0.15">
      <c r="A101" s="179" t="str">
        <f t="shared" si="0"/>
        <v>Apodaca_Optimal Year Round_90</v>
      </c>
      <c r="B101" s="501" t="s">
        <v>1119</v>
      </c>
      <c r="C101" s="429">
        <v>26</v>
      </c>
      <c r="D101" s="429">
        <v>90</v>
      </c>
      <c r="E101" s="431">
        <v>3.86</v>
      </c>
      <c r="F101" s="431">
        <v>4.42</v>
      </c>
      <c r="G101" s="431">
        <v>4.9800000000000004</v>
      </c>
      <c r="H101" s="431">
        <v>4.6399999999999997</v>
      </c>
      <c r="I101" s="431">
        <v>4.62</v>
      </c>
      <c r="J101" s="431">
        <v>4.4400000000000004</v>
      </c>
      <c r="K101" s="431">
        <v>4.41</v>
      </c>
      <c r="L101" s="431">
        <v>4.3899999999999997</v>
      </c>
      <c r="M101" s="431">
        <v>4.1500000000000004</v>
      </c>
      <c r="N101" s="431">
        <v>4.28</v>
      </c>
      <c r="O101" s="431">
        <v>4.17</v>
      </c>
      <c r="P101" s="431">
        <v>3.79</v>
      </c>
      <c r="Q101" s="179">
        <f t="shared" si="2"/>
        <v>4.3458333333333332</v>
      </c>
      <c r="R101" s="179" t="s">
        <v>993</v>
      </c>
    </row>
    <row r="102" spans="1:18" x14ac:dyDescent="0.15">
      <c r="A102" s="179" t="str">
        <f t="shared" si="0"/>
        <v>Apodaca_Optimal Year Round_112.5</v>
      </c>
      <c r="B102" s="501" t="s">
        <v>1119</v>
      </c>
      <c r="C102" s="429">
        <v>26</v>
      </c>
      <c r="D102" s="429">
        <v>112.5</v>
      </c>
      <c r="E102" s="431">
        <v>4.2300000000000004</v>
      </c>
      <c r="F102" s="431">
        <v>4.83</v>
      </c>
      <c r="G102" s="431">
        <v>5.44</v>
      </c>
      <c r="H102" s="431">
        <v>5.08</v>
      </c>
      <c r="I102" s="431">
        <v>5.0599999999999996</v>
      </c>
      <c r="J102" s="431">
        <v>4.8600000000000003</v>
      </c>
      <c r="K102" s="431">
        <v>4.82</v>
      </c>
      <c r="L102" s="431">
        <v>4.8</v>
      </c>
      <c r="M102" s="431">
        <v>4.54</v>
      </c>
      <c r="N102" s="431">
        <v>4.68</v>
      </c>
      <c r="O102" s="431">
        <v>4.5599999999999996</v>
      </c>
      <c r="P102" s="431">
        <v>4.1500000000000004</v>
      </c>
      <c r="Q102" s="179">
        <f t="shared" si="2"/>
        <v>4.7541666666666655</v>
      </c>
      <c r="R102" s="179" t="s">
        <v>993</v>
      </c>
    </row>
    <row r="103" spans="1:18" x14ac:dyDescent="0.15">
      <c r="A103" s="179" t="str">
        <f t="shared" si="0"/>
        <v>Apodaca_Optimal Year Round_135</v>
      </c>
      <c r="B103" s="501" t="s">
        <v>1119</v>
      </c>
      <c r="C103" s="429">
        <v>26</v>
      </c>
      <c r="D103" s="429">
        <v>135</v>
      </c>
      <c r="E103" s="431">
        <v>4.59</v>
      </c>
      <c r="F103" s="431">
        <v>5.24</v>
      </c>
      <c r="G103" s="431">
        <v>5.91</v>
      </c>
      <c r="H103" s="431">
        <v>5.51</v>
      </c>
      <c r="I103" s="431">
        <v>5.49</v>
      </c>
      <c r="J103" s="431">
        <v>5.27</v>
      </c>
      <c r="K103" s="431">
        <v>5.23</v>
      </c>
      <c r="L103" s="431">
        <v>5.22</v>
      </c>
      <c r="M103" s="431">
        <v>4.93</v>
      </c>
      <c r="N103" s="431">
        <v>5.08</v>
      </c>
      <c r="O103" s="431">
        <v>4.95</v>
      </c>
      <c r="P103" s="431">
        <v>4.5</v>
      </c>
      <c r="Q103" s="179">
        <f t="shared" si="2"/>
        <v>5.160000000000001</v>
      </c>
      <c r="R103" s="179" t="s">
        <v>993</v>
      </c>
    </row>
    <row r="104" spans="1:18" x14ac:dyDescent="0.15">
      <c r="A104" s="179" t="str">
        <f t="shared" si="0"/>
        <v>Apodaca_Optimal Year Round_157.5</v>
      </c>
      <c r="B104" s="501" t="s">
        <v>1119</v>
      </c>
      <c r="C104" s="429">
        <v>26</v>
      </c>
      <c r="D104" s="429">
        <v>157.5</v>
      </c>
      <c r="E104" s="431">
        <v>4.71</v>
      </c>
      <c r="F104" s="431">
        <v>5.38</v>
      </c>
      <c r="G104" s="431">
        <v>6.06</v>
      </c>
      <c r="H104" s="431">
        <v>5.66</v>
      </c>
      <c r="I104" s="431">
        <v>5.64</v>
      </c>
      <c r="J104" s="431">
        <v>5.41</v>
      </c>
      <c r="K104" s="431">
        <v>5.37</v>
      </c>
      <c r="L104" s="431">
        <v>5.35</v>
      </c>
      <c r="M104" s="431">
        <v>5.0599999999999996</v>
      </c>
      <c r="N104" s="431">
        <v>5.22</v>
      </c>
      <c r="O104" s="431">
        <v>5.08</v>
      </c>
      <c r="P104" s="431">
        <v>4.62</v>
      </c>
      <c r="Q104" s="179">
        <f t="shared" si="2"/>
        <v>5.296666666666666</v>
      </c>
      <c r="R104" s="179" t="s">
        <v>993</v>
      </c>
    </row>
    <row r="105" spans="1:18" x14ac:dyDescent="0.15">
      <c r="A105" s="179" t="str">
        <f t="shared" si="0"/>
        <v>Apodaca_Optimal Year Round_180</v>
      </c>
      <c r="B105" s="501" t="s">
        <v>1119</v>
      </c>
      <c r="C105" s="429">
        <v>26</v>
      </c>
      <c r="D105" s="429">
        <v>180</v>
      </c>
      <c r="E105" s="431">
        <v>4.83</v>
      </c>
      <c r="F105" s="431">
        <v>5.52</v>
      </c>
      <c r="G105" s="431">
        <v>6.22</v>
      </c>
      <c r="H105" s="431">
        <v>5.8</v>
      </c>
      <c r="I105" s="431">
        <v>5.78</v>
      </c>
      <c r="J105" s="431">
        <v>5.55</v>
      </c>
      <c r="K105" s="431">
        <v>5.51</v>
      </c>
      <c r="L105" s="431">
        <v>5.49</v>
      </c>
      <c r="M105" s="431">
        <v>5.19</v>
      </c>
      <c r="N105" s="431">
        <v>5.35</v>
      </c>
      <c r="O105" s="431">
        <v>5.21</v>
      </c>
      <c r="P105" s="431">
        <v>4.74</v>
      </c>
      <c r="Q105" s="179">
        <f t="shared" si="2"/>
        <v>5.4325000000000001</v>
      </c>
      <c r="R105" s="179" t="s">
        <v>993</v>
      </c>
    </row>
    <row r="106" spans="1:18" x14ac:dyDescent="0.15">
      <c r="A106" s="179" t="str">
        <f t="shared" si="0"/>
        <v>Apodaca_Optimal Year Round_202.5</v>
      </c>
      <c r="B106" s="501" t="s">
        <v>1119</v>
      </c>
      <c r="C106" s="429">
        <v>26</v>
      </c>
      <c r="D106" s="429">
        <v>202.5</v>
      </c>
      <c r="E106" s="431">
        <v>4.71</v>
      </c>
      <c r="F106" s="431">
        <v>5.38</v>
      </c>
      <c r="G106" s="431">
        <v>6.06</v>
      </c>
      <c r="H106" s="431">
        <v>5.66</v>
      </c>
      <c r="I106" s="431">
        <v>5.64</v>
      </c>
      <c r="J106" s="431">
        <v>5.41</v>
      </c>
      <c r="K106" s="431">
        <v>5.37</v>
      </c>
      <c r="L106" s="431">
        <v>5.35</v>
      </c>
      <c r="M106" s="431">
        <v>5.0599999999999996</v>
      </c>
      <c r="N106" s="431">
        <v>5.22</v>
      </c>
      <c r="O106" s="431">
        <v>5.08</v>
      </c>
      <c r="P106" s="431">
        <v>4.62</v>
      </c>
      <c r="Q106" s="179">
        <f t="shared" si="2"/>
        <v>5.296666666666666</v>
      </c>
      <c r="R106" s="179" t="s">
        <v>993</v>
      </c>
    </row>
    <row r="107" spans="1:18" x14ac:dyDescent="0.15">
      <c r="A107" s="179" t="str">
        <f t="shared" si="0"/>
        <v>Apodaca_Optimal Year Round_225</v>
      </c>
      <c r="B107" s="501" t="s">
        <v>1119</v>
      </c>
      <c r="C107" s="429">
        <v>26</v>
      </c>
      <c r="D107" s="429">
        <v>225</v>
      </c>
      <c r="E107" s="431">
        <v>4.59</v>
      </c>
      <c r="F107" s="431">
        <v>5.24</v>
      </c>
      <c r="G107" s="431">
        <v>5.91</v>
      </c>
      <c r="H107" s="431">
        <v>5.51</v>
      </c>
      <c r="I107" s="431">
        <v>5.49</v>
      </c>
      <c r="J107" s="431">
        <v>5.27</v>
      </c>
      <c r="K107" s="431">
        <v>5.23</v>
      </c>
      <c r="L107" s="431">
        <v>5.22</v>
      </c>
      <c r="M107" s="431">
        <v>4.93</v>
      </c>
      <c r="N107" s="431">
        <v>5.08</v>
      </c>
      <c r="O107" s="431">
        <v>4.95</v>
      </c>
      <c r="P107" s="431">
        <v>4.5</v>
      </c>
      <c r="Q107" s="179">
        <f t="shared" si="2"/>
        <v>5.160000000000001</v>
      </c>
      <c r="R107" s="179" t="s">
        <v>993</v>
      </c>
    </row>
    <row r="108" spans="1:18" x14ac:dyDescent="0.15">
      <c r="A108" s="179" t="str">
        <f t="shared" si="0"/>
        <v>Apodaca_Optimal Year Round_247.5</v>
      </c>
      <c r="B108" s="501" t="s">
        <v>1119</v>
      </c>
      <c r="C108" s="429">
        <v>26</v>
      </c>
      <c r="D108" s="429">
        <v>247.5</v>
      </c>
      <c r="E108" s="431">
        <v>4.2300000000000004</v>
      </c>
      <c r="F108" s="431">
        <v>4.83</v>
      </c>
      <c r="G108" s="431">
        <v>5.44</v>
      </c>
      <c r="H108" s="431">
        <v>5.08</v>
      </c>
      <c r="I108" s="431">
        <v>5.0599999999999996</v>
      </c>
      <c r="J108" s="431">
        <v>4.8600000000000003</v>
      </c>
      <c r="K108" s="431">
        <v>4.82</v>
      </c>
      <c r="L108" s="431">
        <v>4.8</v>
      </c>
      <c r="M108" s="431">
        <v>4.54</v>
      </c>
      <c r="N108" s="431">
        <v>4.68</v>
      </c>
      <c r="O108" s="431">
        <v>4.5599999999999996</v>
      </c>
      <c r="P108" s="431">
        <v>4.1500000000000004</v>
      </c>
      <c r="Q108" s="179">
        <f t="shared" si="2"/>
        <v>4.7541666666666655</v>
      </c>
      <c r="R108" s="179" t="s">
        <v>993</v>
      </c>
    </row>
    <row r="109" spans="1:18" x14ac:dyDescent="0.15">
      <c r="A109" s="179" t="str">
        <f t="shared" si="0"/>
        <v>Apodaca_Optimal Year Round_270</v>
      </c>
      <c r="B109" s="501" t="s">
        <v>1119</v>
      </c>
      <c r="C109" s="429">
        <v>26</v>
      </c>
      <c r="D109" s="429">
        <v>270</v>
      </c>
      <c r="E109" s="431">
        <v>3.86</v>
      </c>
      <c r="F109" s="431">
        <v>4.42</v>
      </c>
      <c r="G109" s="431">
        <v>4.9800000000000004</v>
      </c>
      <c r="H109" s="431">
        <v>4.6399999999999997</v>
      </c>
      <c r="I109" s="431">
        <v>4.62</v>
      </c>
      <c r="J109" s="431">
        <v>4.4400000000000004</v>
      </c>
      <c r="K109" s="431">
        <v>4.41</v>
      </c>
      <c r="L109" s="431">
        <v>4.3899999999999997</v>
      </c>
      <c r="M109" s="431">
        <v>4.1500000000000004</v>
      </c>
      <c r="N109" s="431">
        <v>4.28</v>
      </c>
      <c r="O109" s="431">
        <v>4.17</v>
      </c>
      <c r="P109" s="431">
        <v>3.79</v>
      </c>
      <c r="Q109" s="179">
        <f t="shared" si="2"/>
        <v>4.3458333333333332</v>
      </c>
      <c r="R109" s="179" t="s">
        <v>993</v>
      </c>
    </row>
    <row r="110" spans="1:18" x14ac:dyDescent="0.15">
      <c r="A110" s="179" t="str">
        <f t="shared" si="0"/>
        <v>Azcapotzalco_Flat Surface_90</v>
      </c>
      <c r="B110" s="501" t="s">
        <v>1120</v>
      </c>
      <c r="C110" s="429">
        <v>0</v>
      </c>
      <c r="D110" s="429">
        <v>90</v>
      </c>
      <c r="E110" s="431">
        <v>4.74</v>
      </c>
      <c r="F110" s="431">
        <v>5.68</v>
      </c>
      <c r="G110" s="431">
        <v>6.47</v>
      </c>
      <c r="H110" s="431">
        <v>6.38</v>
      </c>
      <c r="I110" s="431">
        <v>6.21</v>
      </c>
      <c r="J110" s="431">
        <v>5.57</v>
      </c>
      <c r="K110" s="431">
        <v>5.48</v>
      </c>
      <c r="L110" s="431">
        <v>5.31</v>
      </c>
      <c r="M110" s="431">
        <v>4.88</v>
      </c>
      <c r="N110" s="431">
        <v>4.87</v>
      </c>
      <c r="O110" s="431">
        <v>4.7699999999999996</v>
      </c>
      <c r="P110" s="431">
        <v>4.34</v>
      </c>
      <c r="Q110" s="179">
        <f t="shared" si="2"/>
        <v>5.3916666666666666</v>
      </c>
      <c r="R110" s="179" t="s">
        <v>994</v>
      </c>
    </row>
    <row r="111" spans="1:18" x14ac:dyDescent="0.15">
      <c r="A111" s="179" t="str">
        <f t="shared" si="0"/>
        <v>Azcapotzalco_Flat Surface_112.5</v>
      </c>
      <c r="B111" s="501" t="s">
        <v>1120</v>
      </c>
      <c r="C111" s="429">
        <v>0</v>
      </c>
      <c r="D111" s="429">
        <v>112.5</v>
      </c>
      <c r="E111" s="431">
        <v>4.74</v>
      </c>
      <c r="F111" s="431">
        <v>5.68</v>
      </c>
      <c r="G111" s="431">
        <v>6.47</v>
      </c>
      <c r="H111" s="431">
        <v>6.38</v>
      </c>
      <c r="I111" s="431">
        <v>6.21</v>
      </c>
      <c r="J111" s="431">
        <v>5.57</v>
      </c>
      <c r="K111" s="431">
        <v>5.48</v>
      </c>
      <c r="L111" s="431">
        <v>5.31</v>
      </c>
      <c r="M111" s="431">
        <v>4.88</v>
      </c>
      <c r="N111" s="431">
        <v>4.87</v>
      </c>
      <c r="O111" s="431">
        <v>4.7699999999999996</v>
      </c>
      <c r="P111" s="431">
        <v>4.34</v>
      </c>
      <c r="Q111" s="179">
        <f t="shared" si="2"/>
        <v>5.3916666666666666</v>
      </c>
      <c r="R111" s="179" t="s">
        <v>994</v>
      </c>
    </row>
    <row r="112" spans="1:18" x14ac:dyDescent="0.15">
      <c r="A112" s="179" t="str">
        <f t="shared" si="0"/>
        <v>Azcapotzalco_Flat Surface_135</v>
      </c>
      <c r="B112" s="501" t="s">
        <v>1120</v>
      </c>
      <c r="C112" s="429">
        <v>0</v>
      </c>
      <c r="D112" s="429">
        <v>135</v>
      </c>
      <c r="E112" s="431">
        <v>4.74</v>
      </c>
      <c r="F112" s="431">
        <v>5.68</v>
      </c>
      <c r="G112" s="431">
        <v>6.47</v>
      </c>
      <c r="H112" s="431">
        <v>6.38</v>
      </c>
      <c r="I112" s="431">
        <v>6.21</v>
      </c>
      <c r="J112" s="431">
        <v>5.57</v>
      </c>
      <c r="K112" s="431">
        <v>5.48</v>
      </c>
      <c r="L112" s="431">
        <v>5.31</v>
      </c>
      <c r="M112" s="431">
        <v>4.88</v>
      </c>
      <c r="N112" s="431">
        <v>4.87</v>
      </c>
      <c r="O112" s="431">
        <v>4.7699999999999996</v>
      </c>
      <c r="P112" s="431">
        <v>4.34</v>
      </c>
      <c r="Q112" s="179">
        <f t="shared" si="2"/>
        <v>5.3916666666666666</v>
      </c>
      <c r="R112" s="179" t="s">
        <v>994</v>
      </c>
    </row>
    <row r="113" spans="1:18" x14ac:dyDescent="0.15">
      <c r="A113" s="179" t="str">
        <f t="shared" si="0"/>
        <v>Azcapotzalco_Flat Surface_157.5</v>
      </c>
      <c r="B113" s="501" t="s">
        <v>1120</v>
      </c>
      <c r="C113" s="429">
        <v>0</v>
      </c>
      <c r="D113" s="429">
        <v>157.5</v>
      </c>
      <c r="E113" s="431">
        <v>4.74</v>
      </c>
      <c r="F113" s="431">
        <v>5.68</v>
      </c>
      <c r="G113" s="431">
        <v>6.47</v>
      </c>
      <c r="H113" s="431">
        <v>6.38</v>
      </c>
      <c r="I113" s="431">
        <v>6.21</v>
      </c>
      <c r="J113" s="431">
        <v>5.57</v>
      </c>
      <c r="K113" s="431">
        <v>5.48</v>
      </c>
      <c r="L113" s="431">
        <v>5.31</v>
      </c>
      <c r="M113" s="431">
        <v>4.88</v>
      </c>
      <c r="N113" s="431">
        <v>4.87</v>
      </c>
      <c r="O113" s="431">
        <v>4.7699999999999996</v>
      </c>
      <c r="P113" s="431">
        <v>4.34</v>
      </c>
      <c r="Q113" s="179">
        <f t="shared" si="2"/>
        <v>5.3916666666666666</v>
      </c>
      <c r="R113" s="179" t="s">
        <v>994</v>
      </c>
    </row>
    <row r="114" spans="1:18" x14ac:dyDescent="0.15">
      <c r="A114" s="179" t="str">
        <f t="shared" si="0"/>
        <v>Azcapotzalco_Flat Surface_180</v>
      </c>
      <c r="B114" s="501" t="s">
        <v>1120</v>
      </c>
      <c r="C114" s="429">
        <v>0</v>
      </c>
      <c r="D114" s="429">
        <v>180</v>
      </c>
      <c r="E114" s="431">
        <v>4.74</v>
      </c>
      <c r="F114" s="431">
        <v>5.68</v>
      </c>
      <c r="G114" s="431">
        <v>6.47</v>
      </c>
      <c r="H114" s="431">
        <v>6.38</v>
      </c>
      <c r="I114" s="431">
        <v>6.21</v>
      </c>
      <c r="J114" s="431">
        <v>5.57</v>
      </c>
      <c r="K114" s="431">
        <v>5.48</v>
      </c>
      <c r="L114" s="431">
        <v>5.31</v>
      </c>
      <c r="M114" s="431">
        <v>4.88</v>
      </c>
      <c r="N114" s="431">
        <v>4.87</v>
      </c>
      <c r="O114" s="431">
        <v>4.7699999999999996</v>
      </c>
      <c r="P114" s="431">
        <v>4.34</v>
      </c>
      <c r="Q114" s="179">
        <f t="shared" si="2"/>
        <v>5.3916666666666666</v>
      </c>
      <c r="R114" s="179" t="s">
        <v>994</v>
      </c>
    </row>
    <row r="115" spans="1:18" x14ac:dyDescent="0.15">
      <c r="A115" s="179" t="str">
        <f t="shared" si="0"/>
        <v>Azcapotzalco_Flat Surface_202.5</v>
      </c>
      <c r="B115" s="501" t="s">
        <v>1120</v>
      </c>
      <c r="C115" s="429">
        <v>0</v>
      </c>
      <c r="D115" s="429">
        <v>202.5</v>
      </c>
      <c r="E115" s="431">
        <v>4.74</v>
      </c>
      <c r="F115" s="431">
        <v>5.68</v>
      </c>
      <c r="G115" s="431">
        <v>6.47</v>
      </c>
      <c r="H115" s="431">
        <v>6.38</v>
      </c>
      <c r="I115" s="431">
        <v>6.21</v>
      </c>
      <c r="J115" s="431">
        <v>5.57</v>
      </c>
      <c r="K115" s="431">
        <v>5.48</v>
      </c>
      <c r="L115" s="431">
        <v>5.31</v>
      </c>
      <c r="M115" s="431">
        <v>4.88</v>
      </c>
      <c r="N115" s="431">
        <v>4.87</v>
      </c>
      <c r="O115" s="431">
        <v>4.7699999999999996</v>
      </c>
      <c r="P115" s="431">
        <v>4.34</v>
      </c>
      <c r="Q115" s="179">
        <f t="shared" si="2"/>
        <v>5.3916666666666666</v>
      </c>
      <c r="R115" s="179" t="s">
        <v>994</v>
      </c>
    </row>
    <row r="116" spans="1:18" x14ac:dyDescent="0.15">
      <c r="A116" s="179" t="str">
        <f t="shared" si="0"/>
        <v>Azcapotzalco_Flat Surface_225</v>
      </c>
      <c r="B116" s="501" t="s">
        <v>1120</v>
      </c>
      <c r="C116" s="429">
        <v>0</v>
      </c>
      <c r="D116" s="429">
        <v>225</v>
      </c>
      <c r="E116" s="431">
        <v>4.74</v>
      </c>
      <c r="F116" s="431">
        <v>5.68</v>
      </c>
      <c r="G116" s="431">
        <v>6.47</v>
      </c>
      <c r="H116" s="431">
        <v>6.38</v>
      </c>
      <c r="I116" s="431">
        <v>6.21</v>
      </c>
      <c r="J116" s="431">
        <v>5.57</v>
      </c>
      <c r="K116" s="431">
        <v>5.48</v>
      </c>
      <c r="L116" s="431">
        <v>5.31</v>
      </c>
      <c r="M116" s="431">
        <v>4.88</v>
      </c>
      <c r="N116" s="431">
        <v>4.87</v>
      </c>
      <c r="O116" s="431">
        <v>4.7699999999999996</v>
      </c>
      <c r="P116" s="431">
        <v>4.34</v>
      </c>
      <c r="Q116" s="179">
        <f t="shared" si="2"/>
        <v>5.3916666666666666</v>
      </c>
      <c r="R116" s="179" t="s">
        <v>994</v>
      </c>
    </row>
    <row r="117" spans="1:18" x14ac:dyDescent="0.15">
      <c r="A117" s="179" t="str">
        <f t="shared" si="0"/>
        <v>Azcapotzalco_Flat Surface_247.5</v>
      </c>
      <c r="B117" s="501" t="s">
        <v>1120</v>
      </c>
      <c r="C117" s="429">
        <v>0</v>
      </c>
      <c r="D117" s="429">
        <v>247.5</v>
      </c>
      <c r="E117" s="431">
        <v>4.74</v>
      </c>
      <c r="F117" s="431">
        <v>5.68</v>
      </c>
      <c r="G117" s="431">
        <v>6.47</v>
      </c>
      <c r="H117" s="431">
        <v>6.38</v>
      </c>
      <c r="I117" s="431">
        <v>6.21</v>
      </c>
      <c r="J117" s="431">
        <v>5.57</v>
      </c>
      <c r="K117" s="431">
        <v>5.48</v>
      </c>
      <c r="L117" s="431">
        <v>5.31</v>
      </c>
      <c r="M117" s="431">
        <v>4.88</v>
      </c>
      <c r="N117" s="431">
        <v>4.87</v>
      </c>
      <c r="O117" s="431">
        <v>4.7699999999999996</v>
      </c>
      <c r="P117" s="431">
        <v>4.34</v>
      </c>
      <c r="Q117" s="179">
        <f t="shared" si="2"/>
        <v>5.3916666666666666</v>
      </c>
      <c r="R117" s="179" t="s">
        <v>994</v>
      </c>
    </row>
    <row r="118" spans="1:18" x14ac:dyDescent="0.15">
      <c r="A118" s="179" t="str">
        <f t="shared" si="0"/>
        <v>Azcapotzalco_Flat Surface_270</v>
      </c>
      <c r="B118" s="501" t="s">
        <v>1120</v>
      </c>
      <c r="C118" s="429">
        <v>0</v>
      </c>
      <c r="D118" s="429">
        <v>270</v>
      </c>
      <c r="E118" s="431">
        <v>4.74</v>
      </c>
      <c r="F118" s="431">
        <v>5.68</v>
      </c>
      <c r="G118" s="431">
        <v>6.47</v>
      </c>
      <c r="H118" s="431">
        <v>6.38</v>
      </c>
      <c r="I118" s="431">
        <v>6.21</v>
      </c>
      <c r="J118" s="431">
        <v>5.57</v>
      </c>
      <c r="K118" s="431">
        <v>5.48</v>
      </c>
      <c r="L118" s="431">
        <v>5.31</v>
      </c>
      <c r="M118" s="431">
        <v>4.88</v>
      </c>
      <c r="N118" s="431">
        <v>4.87</v>
      </c>
      <c r="O118" s="431">
        <v>4.7699999999999996</v>
      </c>
      <c r="P118" s="431">
        <v>4.34</v>
      </c>
      <c r="Q118" s="179">
        <f t="shared" si="2"/>
        <v>5.3916666666666666</v>
      </c>
      <c r="R118" s="179" t="s">
        <v>994</v>
      </c>
    </row>
    <row r="119" spans="1:18" x14ac:dyDescent="0.15">
      <c r="A119" s="179" t="str">
        <f t="shared" si="0"/>
        <v>Azcapotzalco_Optimal Summer_90</v>
      </c>
      <c r="B119" s="501" t="s">
        <v>1120</v>
      </c>
      <c r="C119" s="429">
        <v>5</v>
      </c>
      <c r="D119" s="429">
        <v>90</v>
      </c>
      <c r="E119" s="431">
        <v>4</v>
      </c>
      <c r="F119" s="431">
        <v>4.72</v>
      </c>
      <c r="G119" s="431">
        <v>5.29</v>
      </c>
      <c r="H119" s="431">
        <v>5.13</v>
      </c>
      <c r="I119" s="431">
        <v>4.93</v>
      </c>
      <c r="J119" s="431">
        <v>4.49</v>
      </c>
      <c r="K119" s="431">
        <v>4.41</v>
      </c>
      <c r="L119" s="431">
        <v>4.25</v>
      </c>
      <c r="M119" s="431">
        <v>3.94</v>
      </c>
      <c r="N119" s="431">
        <v>4</v>
      </c>
      <c r="O119" s="431">
        <v>4</v>
      </c>
      <c r="P119" s="431">
        <v>3.66</v>
      </c>
      <c r="Q119" s="179">
        <f t="shared" si="2"/>
        <v>4.4016666666666664</v>
      </c>
      <c r="R119" s="179" t="s">
        <v>958</v>
      </c>
    </row>
    <row r="120" spans="1:18" x14ac:dyDescent="0.15">
      <c r="A120" s="179" t="str">
        <f t="shared" si="0"/>
        <v>Azcapotzalco_Optimal Summer_112.5</v>
      </c>
      <c r="B120" s="501" t="s">
        <v>1120</v>
      </c>
      <c r="C120" s="429">
        <v>5</v>
      </c>
      <c r="D120" s="429">
        <v>112.5</v>
      </c>
      <c r="E120" s="431">
        <v>4.38</v>
      </c>
      <c r="F120" s="431">
        <v>5.16</v>
      </c>
      <c r="G120" s="431">
        <v>5.78</v>
      </c>
      <c r="H120" s="431">
        <v>5.61</v>
      </c>
      <c r="I120" s="431">
        <v>5.39</v>
      </c>
      <c r="J120" s="431">
        <v>4.91</v>
      </c>
      <c r="K120" s="431">
        <v>4.82</v>
      </c>
      <c r="L120" s="431">
        <v>4.6500000000000004</v>
      </c>
      <c r="M120" s="431">
        <v>4.3099999999999996</v>
      </c>
      <c r="N120" s="431">
        <v>4.38</v>
      </c>
      <c r="O120" s="431">
        <v>4.38</v>
      </c>
      <c r="P120" s="431">
        <v>4</v>
      </c>
      <c r="Q120" s="179">
        <f t="shared" si="2"/>
        <v>4.8141666666666669</v>
      </c>
      <c r="R120" s="179" t="s">
        <v>958</v>
      </c>
    </row>
    <row r="121" spans="1:18" x14ac:dyDescent="0.15">
      <c r="A121" s="179" t="str">
        <f t="shared" si="0"/>
        <v>Azcapotzalco_Optimal Summer_135</v>
      </c>
      <c r="B121" s="501" t="s">
        <v>1120</v>
      </c>
      <c r="C121" s="429">
        <v>5</v>
      </c>
      <c r="D121" s="429">
        <v>135</v>
      </c>
      <c r="E121" s="431">
        <v>4.75</v>
      </c>
      <c r="F121" s="431">
        <v>5.6</v>
      </c>
      <c r="G121" s="431">
        <v>6.28</v>
      </c>
      <c r="H121" s="431">
        <v>6.09</v>
      </c>
      <c r="I121" s="431">
        <v>5.85</v>
      </c>
      <c r="J121" s="431">
        <v>5.33</v>
      </c>
      <c r="K121" s="431">
        <v>5.23</v>
      </c>
      <c r="L121" s="431">
        <v>5.04</v>
      </c>
      <c r="M121" s="431">
        <v>4.68</v>
      </c>
      <c r="N121" s="431">
        <v>4.75</v>
      </c>
      <c r="O121" s="431">
        <v>4.75</v>
      </c>
      <c r="P121" s="431">
        <v>4.34</v>
      </c>
      <c r="Q121" s="179">
        <f t="shared" si="2"/>
        <v>5.2241666666666662</v>
      </c>
      <c r="R121" s="179" t="s">
        <v>958</v>
      </c>
    </row>
    <row r="122" spans="1:18" x14ac:dyDescent="0.15">
      <c r="A122" s="179" t="str">
        <f t="shared" si="0"/>
        <v>Azcapotzalco_Optimal Summer_157.5</v>
      </c>
      <c r="B122" s="501" t="s">
        <v>1120</v>
      </c>
      <c r="C122" s="429">
        <v>5</v>
      </c>
      <c r="D122" s="429">
        <v>157.5</v>
      </c>
      <c r="E122" s="431">
        <v>4.88</v>
      </c>
      <c r="F122" s="431">
        <v>5.75</v>
      </c>
      <c r="G122" s="431">
        <v>6.44</v>
      </c>
      <c r="H122" s="431">
        <v>6.25</v>
      </c>
      <c r="I122" s="431">
        <v>6.01</v>
      </c>
      <c r="J122" s="431">
        <v>5.47</v>
      </c>
      <c r="K122" s="431">
        <v>5.37</v>
      </c>
      <c r="L122" s="431">
        <v>5.18</v>
      </c>
      <c r="M122" s="431">
        <v>4.8099999999999996</v>
      </c>
      <c r="N122" s="431">
        <v>4.88</v>
      </c>
      <c r="O122" s="431">
        <v>4.88</v>
      </c>
      <c r="P122" s="431">
        <v>4.46</v>
      </c>
      <c r="Q122" s="179">
        <f t="shared" si="2"/>
        <v>5.3649999999999993</v>
      </c>
      <c r="R122" s="179" t="s">
        <v>958</v>
      </c>
    </row>
    <row r="123" spans="1:18" x14ac:dyDescent="0.15">
      <c r="A123" s="179" t="str">
        <f t="shared" si="0"/>
        <v>Azcapotzalco_Optimal Summer_180</v>
      </c>
      <c r="B123" s="501" t="s">
        <v>1120</v>
      </c>
      <c r="C123" s="429">
        <v>5</v>
      </c>
      <c r="D123" s="429">
        <v>180</v>
      </c>
      <c r="E123" s="431">
        <v>5</v>
      </c>
      <c r="F123" s="431">
        <v>5.9</v>
      </c>
      <c r="G123" s="431">
        <v>6.61</v>
      </c>
      <c r="H123" s="431">
        <v>6.41</v>
      </c>
      <c r="I123" s="431">
        <v>6.16</v>
      </c>
      <c r="J123" s="431">
        <v>5.61</v>
      </c>
      <c r="K123" s="431">
        <v>5.51</v>
      </c>
      <c r="L123" s="431">
        <v>5.31</v>
      </c>
      <c r="M123" s="431">
        <v>4.93</v>
      </c>
      <c r="N123" s="431">
        <v>5</v>
      </c>
      <c r="O123" s="431">
        <v>5</v>
      </c>
      <c r="P123" s="431">
        <v>4.57</v>
      </c>
      <c r="Q123" s="179">
        <f t="shared" si="2"/>
        <v>5.5008333333333335</v>
      </c>
      <c r="R123" s="179" t="s">
        <v>958</v>
      </c>
    </row>
    <row r="124" spans="1:18" x14ac:dyDescent="0.15">
      <c r="A124" s="179" t="str">
        <f t="shared" si="0"/>
        <v>Azcapotzalco_Optimal Summer_202.5</v>
      </c>
      <c r="B124" s="501" t="s">
        <v>1120</v>
      </c>
      <c r="C124" s="429">
        <v>5</v>
      </c>
      <c r="D124" s="429">
        <v>202.5</v>
      </c>
      <c r="E124" s="431">
        <v>4.88</v>
      </c>
      <c r="F124" s="431">
        <v>5.75</v>
      </c>
      <c r="G124" s="431">
        <v>6.44</v>
      </c>
      <c r="H124" s="431">
        <v>6.25</v>
      </c>
      <c r="I124" s="431">
        <v>6.01</v>
      </c>
      <c r="J124" s="431">
        <v>5.47</v>
      </c>
      <c r="K124" s="431">
        <v>5.37</v>
      </c>
      <c r="L124" s="431">
        <v>5.18</v>
      </c>
      <c r="M124" s="431">
        <v>4.8099999999999996</v>
      </c>
      <c r="N124" s="431">
        <v>4.88</v>
      </c>
      <c r="O124" s="431">
        <v>4.88</v>
      </c>
      <c r="P124" s="431">
        <v>4.46</v>
      </c>
      <c r="Q124" s="179">
        <f t="shared" si="2"/>
        <v>5.3649999999999993</v>
      </c>
      <c r="R124" s="179" t="s">
        <v>958</v>
      </c>
    </row>
    <row r="125" spans="1:18" x14ac:dyDescent="0.15">
      <c r="A125" s="179" t="str">
        <f t="shared" si="0"/>
        <v>Azcapotzalco_Optimal Summer_225</v>
      </c>
      <c r="B125" s="501" t="s">
        <v>1120</v>
      </c>
      <c r="C125" s="429">
        <v>5</v>
      </c>
      <c r="D125" s="429">
        <v>225</v>
      </c>
      <c r="E125" s="431">
        <v>4.75</v>
      </c>
      <c r="F125" s="431">
        <v>5.6</v>
      </c>
      <c r="G125" s="431">
        <v>6.28</v>
      </c>
      <c r="H125" s="431">
        <v>6.09</v>
      </c>
      <c r="I125" s="431">
        <v>5.85</v>
      </c>
      <c r="J125" s="431">
        <v>5.33</v>
      </c>
      <c r="K125" s="431">
        <v>5.23</v>
      </c>
      <c r="L125" s="431">
        <v>5.04</v>
      </c>
      <c r="M125" s="431">
        <v>4.68</v>
      </c>
      <c r="N125" s="431">
        <v>4.75</v>
      </c>
      <c r="O125" s="431">
        <v>4.75</v>
      </c>
      <c r="P125" s="431">
        <v>4.34</v>
      </c>
      <c r="Q125" s="179">
        <f t="shared" si="2"/>
        <v>5.2241666666666662</v>
      </c>
      <c r="R125" s="179" t="s">
        <v>958</v>
      </c>
    </row>
    <row r="126" spans="1:18" x14ac:dyDescent="0.15">
      <c r="A126" s="179" t="str">
        <f t="shared" si="0"/>
        <v>Azcapotzalco_Optimal Summer_247.5</v>
      </c>
      <c r="B126" s="501" t="s">
        <v>1120</v>
      </c>
      <c r="C126" s="429">
        <v>5</v>
      </c>
      <c r="D126" s="429">
        <v>247.5</v>
      </c>
      <c r="E126" s="431">
        <v>4.38</v>
      </c>
      <c r="F126" s="431">
        <v>5.16</v>
      </c>
      <c r="G126" s="431">
        <v>5.78</v>
      </c>
      <c r="H126" s="431">
        <v>5.61</v>
      </c>
      <c r="I126" s="431">
        <v>5.39</v>
      </c>
      <c r="J126" s="431">
        <v>4.91</v>
      </c>
      <c r="K126" s="431">
        <v>4.82</v>
      </c>
      <c r="L126" s="431">
        <v>4.6500000000000004</v>
      </c>
      <c r="M126" s="431">
        <v>4.3099999999999996</v>
      </c>
      <c r="N126" s="431">
        <v>4.38</v>
      </c>
      <c r="O126" s="431">
        <v>4.38</v>
      </c>
      <c r="P126" s="431">
        <v>4</v>
      </c>
      <c r="Q126" s="179">
        <f t="shared" si="2"/>
        <v>4.8141666666666669</v>
      </c>
      <c r="R126" s="179" t="s">
        <v>958</v>
      </c>
    </row>
    <row r="127" spans="1:18" x14ac:dyDescent="0.15">
      <c r="A127" s="179" t="str">
        <f t="shared" si="0"/>
        <v>Azcapotzalco_Optimal Summer_270</v>
      </c>
      <c r="B127" s="501" t="s">
        <v>1120</v>
      </c>
      <c r="C127" s="429">
        <v>5</v>
      </c>
      <c r="D127" s="429">
        <v>270</v>
      </c>
      <c r="E127" s="431">
        <v>4</v>
      </c>
      <c r="F127" s="431">
        <v>4.72</v>
      </c>
      <c r="G127" s="431">
        <v>5.29</v>
      </c>
      <c r="H127" s="431">
        <v>5.13</v>
      </c>
      <c r="I127" s="431">
        <v>4.93</v>
      </c>
      <c r="J127" s="431">
        <v>4.49</v>
      </c>
      <c r="K127" s="431">
        <v>4.41</v>
      </c>
      <c r="L127" s="431">
        <v>4.25</v>
      </c>
      <c r="M127" s="431">
        <v>3.94</v>
      </c>
      <c r="N127" s="431">
        <v>4</v>
      </c>
      <c r="O127" s="431">
        <v>4</v>
      </c>
      <c r="P127" s="431">
        <v>3.66</v>
      </c>
      <c r="Q127" s="179">
        <f t="shared" si="2"/>
        <v>4.4016666666666664</v>
      </c>
      <c r="R127" s="179" t="s">
        <v>958</v>
      </c>
    </row>
    <row r="128" spans="1:18" x14ac:dyDescent="0.15">
      <c r="A128" s="179" t="str">
        <f t="shared" si="0"/>
        <v>Azcapotzalco_Optimal Year Round_90</v>
      </c>
      <c r="B128" s="501" t="s">
        <v>1120</v>
      </c>
      <c r="C128" s="429">
        <v>20</v>
      </c>
      <c r="D128" s="429">
        <v>90</v>
      </c>
      <c r="E128" s="431">
        <v>4.62</v>
      </c>
      <c r="F128" s="431">
        <v>5.22</v>
      </c>
      <c r="G128" s="431">
        <v>5.5</v>
      </c>
      <c r="H128" s="431">
        <v>5.03</v>
      </c>
      <c r="I128" s="431">
        <v>4.63</v>
      </c>
      <c r="J128" s="431">
        <v>4.47</v>
      </c>
      <c r="K128" s="431">
        <v>4.37</v>
      </c>
      <c r="L128" s="431">
        <v>4.1100000000000003</v>
      </c>
      <c r="M128" s="431">
        <v>3.98</v>
      </c>
      <c r="N128" s="431">
        <v>4.26</v>
      </c>
      <c r="O128" s="431">
        <v>4.54</v>
      </c>
      <c r="P128" s="431">
        <v>4.2300000000000004</v>
      </c>
      <c r="Q128" s="179">
        <f t="shared" si="2"/>
        <v>4.5799999999999992</v>
      </c>
      <c r="R128" s="179" t="s">
        <v>993</v>
      </c>
    </row>
    <row r="129" spans="1:18" x14ac:dyDescent="0.15">
      <c r="A129" s="179" t="str">
        <f t="shared" si="0"/>
        <v>Azcapotzalco_Optimal Year Round_112.5</v>
      </c>
      <c r="B129" s="501" t="s">
        <v>1120</v>
      </c>
      <c r="C129" s="429">
        <v>20</v>
      </c>
      <c r="D129" s="429">
        <v>112.5</v>
      </c>
      <c r="E129" s="431">
        <v>5.0599999999999996</v>
      </c>
      <c r="F129" s="431">
        <v>5.7</v>
      </c>
      <c r="G129" s="431">
        <v>6.02</v>
      </c>
      <c r="H129" s="431">
        <v>5.5</v>
      </c>
      <c r="I129" s="431">
        <v>5.07</v>
      </c>
      <c r="J129" s="431">
        <v>4.8899999999999997</v>
      </c>
      <c r="K129" s="431">
        <v>4.78</v>
      </c>
      <c r="L129" s="431">
        <v>4.5</v>
      </c>
      <c r="M129" s="431">
        <v>4.3499999999999996</v>
      </c>
      <c r="N129" s="431">
        <v>4.66</v>
      </c>
      <c r="O129" s="431">
        <v>4.97</v>
      </c>
      <c r="P129" s="431">
        <v>4.63</v>
      </c>
      <c r="Q129" s="179">
        <f t="shared" si="2"/>
        <v>5.0108333333333333</v>
      </c>
      <c r="R129" s="179" t="s">
        <v>993</v>
      </c>
    </row>
    <row r="130" spans="1:18" x14ac:dyDescent="0.15">
      <c r="A130" s="179" t="str">
        <f t="shared" si="0"/>
        <v>Azcapotzalco_Optimal Year Round_135</v>
      </c>
      <c r="B130" s="501" t="s">
        <v>1120</v>
      </c>
      <c r="C130" s="429">
        <v>20</v>
      </c>
      <c r="D130" s="429">
        <v>135</v>
      </c>
      <c r="E130" s="431">
        <v>5.49</v>
      </c>
      <c r="F130" s="431">
        <v>6.19</v>
      </c>
      <c r="G130" s="431">
        <v>6.54</v>
      </c>
      <c r="H130" s="431">
        <v>5.98</v>
      </c>
      <c r="I130" s="431">
        <v>5.5</v>
      </c>
      <c r="J130" s="431">
        <v>5.31</v>
      </c>
      <c r="K130" s="431">
        <v>5.19</v>
      </c>
      <c r="L130" s="431">
        <v>4.88</v>
      </c>
      <c r="M130" s="431">
        <v>4.72</v>
      </c>
      <c r="N130" s="431">
        <v>5.0599999999999996</v>
      </c>
      <c r="O130" s="431">
        <v>5.4</v>
      </c>
      <c r="P130" s="431">
        <v>5.03</v>
      </c>
      <c r="Q130" s="179">
        <f t="shared" ref="Q130:Q193" si="3">AVERAGE(E130:P130)</f>
        <v>5.440833333333333</v>
      </c>
      <c r="R130" s="179" t="s">
        <v>993</v>
      </c>
    </row>
    <row r="131" spans="1:18" x14ac:dyDescent="0.15">
      <c r="A131" s="179" t="str">
        <f t="shared" si="0"/>
        <v>Azcapotzalco_Optimal Year Round_157.5</v>
      </c>
      <c r="B131" s="501" t="s">
        <v>1120</v>
      </c>
      <c r="C131" s="429">
        <v>20</v>
      </c>
      <c r="D131" s="429">
        <v>157.5</v>
      </c>
      <c r="E131" s="431">
        <v>5.64</v>
      </c>
      <c r="F131" s="431">
        <v>6.36</v>
      </c>
      <c r="G131" s="431">
        <v>6.71</v>
      </c>
      <c r="H131" s="431">
        <v>6.13</v>
      </c>
      <c r="I131" s="431">
        <v>5.65</v>
      </c>
      <c r="J131" s="431">
        <v>5.45</v>
      </c>
      <c r="K131" s="431">
        <v>5.32</v>
      </c>
      <c r="L131" s="431">
        <v>5.01</v>
      </c>
      <c r="M131" s="431">
        <v>4.8499999999999996</v>
      </c>
      <c r="N131" s="431">
        <v>5.2</v>
      </c>
      <c r="O131" s="431">
        <v>5.54</v>
      </c>
      <c r="P131" s="431">
        <v>5.16</v>
      </c>
      <c r="Q131" s="179">
        <f t="shared" si="3"/>
        <v>5.5850000000000009</v>
      </c>
      <c r="R131" s="179" t="s">
        <v>993</v>
      </c>
    </row>
    <row r="132" spans="1:18" x14ac:dyDescent="0.15">
      <c r="A132" s="179" t="str">
        <f t="shared" si="0"/>
        <v>Azcapotzalco_Optimal Year Round_180</v>
      </c>
      <c r="B132" s="501" t="s">
        <v>1120</v>
      </c>
      <c r="C132" s="429">
        <v>20</v>
      </c>
      <c r="D132" s="429">
        <v>180</v>
      </c>
      <c r="E132" s="431">
        <v>5.78</v>
      </c>
      <c r="F132" s="431">
        <v>6.52</v>
      </c>
      <c r="G132" s="431">
        <v>6.88</v>
      </c>
      <c r="H132" s="431">
        <v>6.29</v>
      </c>
      <c r="I132" s="431">
        <v>5.79</v>
      </c>
      <c r="J132" s="431">
        <v>5.59</v>
      </c>
      <c r="K132" s="431">
        <v>5.46</v>
      </c>
      <c r="L132" s="431">
        <v>5.14</v>
      </c>
      <c r="M132" s="431">
        <v>4.97</v>
      </c>
      <c r="N132" s="431">
        <v>5.33</v>
      </c>
      <c r="O132" s="431">
        <v>5.68</v>
      </c>
      <c r="P132" s="431">
        <v>5.29</v>
      </c>
      <c r="Q132" s="179">
        <f t="shared" si="3"/>
        <v>5.7266666666666666</v>
      </c>
      <c r="R132" s="179" t="s">
        <v>993</v>
      </c>
    </row>
    <row r="133" spans="1:18" x14ac:dyDescent="0.15">
      <c r="A133" s="179" t="str">
        <f t="shared" si="0"/>
        <v>Azcapotzalco_Optimal Year Round_202.5</v>
      </c>
      <c r="B133" s="501" t="s">
        <v>1120</v>
      </c>
      <c r="C133" s="429">
        <v>20</v>
      </c>
      <c r="D133" s="429">
        <v>202.5</v>
      </c>
      <c r="E133" s="431">
        <v>5.64</v>
      </c>
      <c r="F133" s="431">
        <v>6.36</v>
      </c>
      <c r="G133" s="431">
        <v>6.71</v>
      </c>
      <c r="H133" s="431">
        <v>6.13</v>
      </c>
      <c r="I133" s="431">
        <v>5.65</v>
      </c>
      <c r="J133" s="431">
        <v>5.45</v>
      </c>
      <c r="K133" s="431">
        <v>5.32</v>
      </c>
      <c r="L133" s="431">
        <v>5.01</v>
      </c>
      <c r="M133" s="431">
        <v>4.8499999999999996</v>
      </c>
      <c r="N133" s="431">
        <v>5.2</v>
      </c>
      <c r="O133" s="431">
        <v>5.54</v>
      </c>
      <c r="P133" s="431">
        <v>5.16</v>
      </c>
      <c r="Q133" s="179">
        <f t="shared" si="3"/>
        <v>5.5850000000000009</v>
      </c>
      <c r="R133" s="179" t="s">
        <v>993</v>
      </c>
    </row>
    <row r="134" spans="1:18" x14ac:dyDescent="0.15">
      <c r="A134" s="179" t="str">
        <f t="shared" si="0"/>
        <v>Azcapotzalco_Optimal Year Round_225</v>
      </c>
      <c r="B134" s="501" t="s">
        <v>1120</v>
      </c>
      <c r="C134" s="429">
        <v>20</v>
      </c>
      <c r="D134" s="429">
        <v>225</v>
      </c>
      <c r="E134" s="431">
        <v>5.49</v>
      </c>
      <c r="F134" s="431">
        <v>6.19</v>
      </c>
      <c r="G134" s="431">
        <v>6.54</v>
      </c>
      <c r="H134" s="431">
        <v>5.98</v>
      </c>
      <c r="I134" s="431">
        <v>5.5</v>
      </c>
      <c r="J134" s="431">
        <v>5.31</v>
      </c>
      <c r="K134" s="431">
        <v>5.19</v>
      </c>
      <c r="L134" s="431">
        <v>4.88</v>
      </c>
      <c r="M134" s="431">
        <v>4.72</v>
      </c>
      <c r="N134" s="431">
        <v>5.0599999999999996</v>
      </c>
      <c r="O134" s="431">
        <v>5.4</v>
      </c>
      <c r="P134" s="431">
        <v>5.03</v>
      </c>
      <c r="Q134" s="179">
        <f t="shared" si="3"/>
        <v>5.440833333333333</v>
      </c>
      <c r="R134" s="179" t="s">
        <v>993</v>
      </c>
    </row>
    <row r="135" spans="1:18" x14ac:dyDescent="0.15">
      <c r="A135" s="179" t="str">
        <f t="shared" si="0"/>
        <v>Azcapotzalco_Optimal Year Round_247.5</v>
      </c>
      <c r="B135" s="501" t="s">
        <v>1120</v>
      </c>
      <c r="C135" s="429">
        <v>20</v>
      </c>
      <c r="D135" s="429">
        <v>247.5</v>
      </c>
      <c r="E135" s="431">
        <v>5.0599999999999996</v>
      </c>
      <c r="F135" s="431">
        <v>5.7</v>
      </c>
      <c r="G135" s="431">
        <v>6.02</v>
      </c>
      <c r="H135" s="431">
        <v>5.5</v>
      </c>
      <c r="I135" s="431">
        <v>5.07</v>
      </c>
      <c r="J135" s="431">
        <v>4.8899999999999997</v>
      </c>
      <c r="K135" s="431">
        <v>4.78</v>
      </c>
      <c r="L135" s="431">
        <v>4.5</v>
      </c>
      <c r="M135" s="431">
        <v>4.3499999999999996</v>
      </c>
      <c r="N135" s="431">
        <v>4.66</v>
      </c>
      <c r="O135" s="431">
        <v>4.97</v>
      </c>
      <c r="P135" s="431">
        <v>4.63</v>
      </c>
      <c r="Q135" s="179">
        <f t="shared" si="3"/>
        <v>5.0108333333333333</v>
      </c>
      <c r="R135" s="179" t="s">
        <v>993</v>
      </c>
    </row>
    <row r="136" spans="1:18" x14ac:dyDescent="0.15">
      <c r="A136" s="179" t="str">
        <f t="shared" si="0"/>
        <v>Azcapotzalco_Optimal Year Round_270</v>
      </c>
      <c r="B136" s="501" t="s">
        <v>1120</v>
      </c>
      <c r="C136" s="429">
        <v>20</v>
      </c>
      <c r="D136" s="429">
        <v>270</v>
      </c>
      <c r="E136" s="431">
        <v>4.62</v>
      </c>
      <c r="F136" s="431">
        <v>5.22</v>
      </c>
      <c r="G136" s="431">
        <v>5.5</v>
      </c>
      <c r="H136" s="431">
        <v>5.03</v>
      </c>
      <c r="I136" s="431">
        <v>4.63</v>
      </c>
      <c r="J136" s="431">
        <v>4.47</v>
      </c>
      <c r="K136" s="431">
        <v>4.37</v>
      </c>
      <c r="L136" s="431">
        <v>4.1100000000000003</v>
      </c>
      <c r="M136" s="431">
        <v>3.98</v>
      </c>
      <c r="N136" s="431">
        <v>4.26</v>
      </c>
      <c r="O136" s="431">
        <v>4.54</v>
      </c>
      <c r="P136" s="431">
        <v>4.2300000000000004</v>
      </c>
      <c r="Q136" s="179">
        <f t="shared" si="3"/>
        <v>4.5799999999999992</v>
      </c>
      <c r="R136" s="179" t="s">
        <v>993</v>
      </c>
    </row>
    <row r="137" spans="1:18" x14ac:dyDescent="0.15">
      <c r="A137" s="179" t="str">
        <f t="shared" si="0"/>
        <v>Benito Juarez_Flat Surface_90</v>
      </c>
      <c r="B137" s="501" t="s">
        <v>1121</v>
      </c>
      <c r="C137" s="429">
        <v>0</v>
      </c>
      <c r="D137" s="429">
        <v>90</v>
      </c>
      <c r="E137" s="431">
        <v>4.74</v>
      </c>
      <c r="F137" s="431">
        <v>5.68</v>
      </c>
      <c r="G137" s="431">
        <v>6.47</v>
      </c>
      <c r="H137" s="431">
        <v>6.38</v>
      </c>
      <c r="I137" s="431">
        <v>6.21</v>
      </c>
      <c r="J137" s="431">
        <v>5.57</v>
      </c>
      <c r="K137" s="431">
        <v>5.48</v>
      </c>
      <c r="L137" s="431">
        <v>5.31</v>
      </c>
      <c r="M137" s="431">
        <v>4.88</v>
      </c>
      <c r="N137" s="431">
        <v>4.87</v>
      </c>
      <c r="O137" s="431">
        <v>4.7699999999999996</v>
      </c>
      <c r="P137" s="431">
        <v>4.34</v>
      </c>
      <c r="Q137" s="179">
        <f t="shared" si="3"/>
        <v>5.3916666666666666</v>
      </c>
      <c r="R137" s="179" t="s">
        <v>994</v>
      </c>
    </row>
    <row r="138" spans="1:18" x14ac:dyDescent="0.15">
      <c r="A138" s="179" t="str">
        <f t="shared" si="0"/>
        <v>Benito Juarez_Flat Surface_112.5</v>
      </c>
      <c r="B138" s="501" t="s">
        <v>1121</v>
      </c>
      <c r="C138" s="429">
        <v>0</v>
      </c>
      <c r="D138" s="429">
        <v>112.5</v>
      </c>
      <c r="E138" s="431">
        <v>4.74</v>
      </c>
      <c r="F138" s="431">
        <v>5.68</v>
      </c>
      <c r="G138" s="431">
        <v>6.47</v>
      </c>
      <c r="H138" s="431">
        <v>6.38</v>
      </c>
      <c r="I138" s="431">
        <v>6.21</v>
      </c>
      <c r="J138" s="431">
        <v>5.57</v>
      </c>
      <c r="K138" s="431">
        <v>5.48</v>
      </c>
      <c r="L138" s="431">
        <v>5.31</v>
      </c>
      <c r="M138" s="431">
        <v>4.88</v>
      </c>
      <c r="N138" s="431">
        <v>4.87</v>
      </c>
      <c r="O138" s="431">
        <v>4.7699999999999996</v>
      </c>
      <c r="P138" s="431">
        <v>4.34</v>
      </c>
      <c r="Q138" s="179">
        <f t="shared" si="3"/>
        <v>5.3916666666666666</v>
      </c>
      <c r="R138" s="179" t="s">
        <v>994</v>
      </c>
    </row>
    <row r="139" spans="1:18" x14ac:dyDescent="0.15">
      <c r="A139" s="179" t="str">
        <f t="shared" si="0"/>
        <v>Benito Juarez_Flat Surface_135</v>
      </c>
      <c r="B139" s="501" t="s">
        <v>1121</v>
      </c>
      <c r="C139" s="429">
        <v>0</v>
      </c>
      <c r="D139" s="429">
        <v>135</v>
      </c>
      <c r="E139" s="431">
        <v>4.74</v>
      </c>
      <c r="F139" s="431">
        <v>5.68</v>
      </c>
      <c r="G139" s="431">
        <v>6.47</v>
      </c>
      <c r="H139" s="431">
        <v>6.38</v>
      </c>
      <c r="I139" s="431">
        <v>6.21</v>
      </c>
      <c r="J139" s="431">
        <v>5.57</v>
      </c>
      <c r="K139" s="431">
        <v>5.48</v>
      </c>
      <c r="L139" s="431">
        <v>5.31</v>
      </c>
      <c r="M139" s="431">
        <v>4.88</v>
      </c>
      <c r="N139" s="431">
        <v>4.87</v>
      </c>
      <c r="O139" s="431">
        <v>4.7699999999999996</v>
      </c>
      <c r="P139" s="431">
        <v>4.34</v>
      </c>
      <c r="Q139" s="179">
        <f t="shared" si="3"/>
        <v>5.3916666666666666</v>
      </c>
      <c r="R139" s="179" t="s">
        <v>994</v>
      </c>
    </row>
    <row r="140" spans="1:18" x14ac:dyDescent="0.15">
      <c r="A140" s="179" t="str">
        <f t="shared" si="0"/>
        <v>Benito Juarez_Flat Surface_157.5</v>
      </c>
      <c r="B140" s="501" t="s">
        <v>1121</v>
      </c>
      <c r="C140" s="429">
        <v>0</v>
      </c>
      <c r="D140" s="429">
        <v>157.5</v>
      </c>
      <c r="E140" s="431">
        <v>4.74</v>
      </c>
      <c r="F140" s="431">
        <v>5.68</v>
      </c>
      <c r="G140" s="431">
        <v>6.47</v>
      </c>
      <c r="H140" s="431">
        <v>6.38</v>
      </c>
      <c r="I140" s="431">
        <v>6.21</v>
      </c>
      <c r="J140" s="431">
        <v>5.57</v>
      </c>
      <c r="K140" s="431">
        <v>5.48</v>
      </c>
      <c r="L140" s="431">
        <v>5.31</v>
      </c>
      <c r="M140" s="431">
        <v>4.88</v>
      </c>
      <c r="N140" s="431">
        <v>4.87</v>
      </c>
      <c r="O140" s="431">
        <v>4.7699999999999996</v>
      </c>
      <c r="P140" s="431">
        <v>4.34</v>
      </c>
      <c r="Q140" s="179">
        <f t="shared" si="3"/>
        <v>5.3916666666666666</v>
      </c>
      <c r="R140" s="179" t="s">
        <v>994</v>
      </c>
    </row>
    <row r="141" spans="1:18" x14ac:dyDescent="0.15">
      <c r="A141" s="179" t="str">
        <f t="shared" si="0"/>
        <v>Benito Juarez_Flat Surface_180</v>
      </c>
      <c r="B141" s="501" t="s">
        <v>1121</v>
      </c>
      <c r="C141" s="429">
        <v>0</v>
      </c>
      <c r="D141" s="429">
        <v>180</v>
      </c>
      <c r="E141" s="431">
        <v>4.74</v>
      </c>
      <c r="F141" s="431">
        <v>5.68</v>
      </c>
      <c r="G141" s="431">
        <v>6.47</v>
      </c>
      <c r="H141" s="431">
        <v>6.38</v>
      </c>
      <c r="I141" s="431">
        <v>6.21</v>
      </c>
      <c r="J141" s="431">
        <v>5.57</v>
      </c>
      <c r="K141" s="431">
        <v>5.48</v>
      </c>
      <c r="L141" s="431">
        <v>5.31</v>
      </c>
      <c r="M141" s="431">
        <v>4.88</v>
      </c>
      <c r="N141" s="431">
        <v>4.87</v>
      </c>
      <c r="O141" s="431">
        <v>4.7699999999999996</v>
      </c>
      <c r="P141" s="431">
        <v>4.34</v>
      </c>
      <c r="Q141" s="179">
        <f t="shared" si="3"/>
        <v>5.3916666666666666</v>
      </c>
      <c r="R141" s="179" t="s">
        <v>994</v>
      </c>
    </row>
    <row r="142" spans="1:18" x14ac:dyDescent="0.15">
      <c r="A142" s="179" t="str">
        <f t="shared" si="0"/>
        <v>Benito Juarez_Flat Surface_202.5</v>
      </c>
      <c r="B142" s="501" t="s">
        <v>1121</v>
      </c>
      <c r="C142" s="429">
        <v>0</v>
      </c>
      <c r="D142" s="429">
        <v>202.5</v>
      </c>
      <c r="E142" s="431">
        <v>4.74</v>
      </c>
      <c r="F142" s="431">
        <v>5.68</v>
      </c>
      <c r="G142" s="431">
        <v>6.47</v>
      </c>
      <c r="H142" s="431">
        <v>6.38</v>
      </c>
      <c r="I142" s="431">
        <v>6.21</v>
      </c>
      <c r="J142" s="431">
        <v>5.57</v>
      </c>
      <c r="K142" s="431">
        <v>5.48</v>
      </c>
      <c r="L142" s="431">
        <v>5.31</v>
      </c>
      <c r="M142" s="431">
        <v>4.88</v>
      </c>
      <c r="N142" s="431">
        <v>4.87</v>
      </c>
      <c r="O142" s="431">
        <v>4.7699999999999996</v>
      </c>
      <c r="P142" s="431">
        <v>4.34</v>
      </c>
      <c r="Q142" s="179">
        <f t="shared" si="3"/>
        <v>5.3916666666666666</v>
      </c>
      <c r="R142" s="179" t="s">
        <v>994</v>
      </c>
    </row>
    <row r="143" spans="1:18" x14ac:dyDescent="0.15">
      <c r="A143" s="179" t="str">
        <f t="shared" si="0"/>
        <v>Benito Juarez_Flat Surface_225</v>
      </c>
      <c r="B143" s="501" t="s">
        <v>1121</v>
      </c>
      <c r="C143" s="429">
        <v>0</v>
      </c>
      <c r="D143" s="429">
        <v>225</v>
      </c>
      <c r="E143" s="431">
        <v>4.74</v>
      </c>
      <c r="F143" s="431">
        <v>5.68</v>
      </c>
      <c r="G143" s="431">
        <v>6.47</v>
      </c>
      <c r="H143" s="431">
        <v>6.38</v>
      </c>
      <c r="I143" s="431">
        <v>6.21</v>
      </c>
      <c r="J143" s="431">
        <v>5.57</v>
      </c>
      <c r="K143" s="431">
        <v>5.48</v>
      </c>
      <c r="L143" s="431">
        <v>5.31</v>
      </c>
      <c r="M143" s="431">
        <v>4.88</v>
      </c>
      <c r="N143" s="431">
        <v>4.87</v>
      </c>
      <c r="O143" s="431">
        <v>4.7699999999999996</v>
      </c>
      <c r="P143" s="431">
        <v>4.34</v>
      </c>
      <c r="Q143" s="179">
        <f t="shared" si="3"/>
        <v>5.3916666666666666</v>
      </c>
      <c r="R143" s="179" t="s">
        <v>994</v>
      </c>
    </row>
    <row r="144" spans="1:18" x14ac:dyDescent="0.15">
      <c r="A144" s="179" t="str">
        <f t="shared" si="0"/>
        <v>Benito Juarez_Flat Surface_247.5</v>
      </c>
      <c r="B144" s="501" t="s">
        <v>1121</v>
      </c>
      <c r="C144" s="429">
        <v>0</v>
      </c>
      <c r="D144" s="429">
        <v>247.5</v>
      </c>
      <c r="E144" s="431">
        <v>4.74</v>
      </c>
      <c r="F144" s="431">
        <v>5.68</v>
      </c>
      <c r="G144" s="431">
        <v>6.47</v>
      </c>
      <c r="H144" s="431">
        <v>6.38</v>
      </c>
      <c r="I144" s="431">
        <v>6.21</v>
      </c>
      <c r="J144" s="431">
        <v>5.57</v>
      </c>
      <c r="K144" s="431">
        <v>5.48</v>
      </c>
      <c r="L144" s="431">
        <v>5.31</v>
      </c>
      <c r="M144" s="431">
        <v>4.88</v>
      </c>
      <c r="N144" s="431">
        <v>4.87</v>
      </c>
      <c r="O144" s="431">
        <v>4.7699999999999996</v>
      </c>
      <c r="P144" s="431">
        <v>4.34</v>
      </c>
      <c r="Q144" s="179">
        <f t="shared" si="3"/>
        <v>5.3916666666666666</v>
      </c>
      <c r="R144" s="179" t="s">
        <v>994</v>
      </c>
    </row>
    <row r="145" spans="1:18" x14ac:dyDescent="0.15">
      <c r="A145" s="179" t="str">
        <f t="shared" si="0"/>
        <v>Benito Juarez_Flat Surface_270</v>
      </c>
      <c r="B145" s="501" t="s">
        <v>1121</v>
      </c>
      <c r="C145" s="429">
        <v>0</v>
      </c>
      <c r="D145" s="429">
        <v>270</v>
      </c>
      <c r="E145" s="431">
        <v>4.74</v>
      </c>
      <c r="F145" s="431">
        <v>5.68</v>
      </c>
      <c r="G145" s="431">
        <v>6.47</v>
      </c>
      <c r="H145" s="431">
        <v>6.38</v>
      </c>
      <c r="I145" s="431">
        <v>6.21</v>
      </c>
      <c r="J145" s="431">
        <v>5.57</v>
      </c>
      <c r="K145" s="431">
        <v>5.48</v>
      </c>
      <c r="L145" s="431">
        <v>5.31</v>
      </c>
      <c r="M145" s="431">
        <v>4.88</v>
      </c>
      <c r="N145" s="431">
        <v>4.87</v>
      </c>
      <c r="O145" s="431">
        <v>4.7699999999999996</v>
      </c>
      <c r="P145" s="431">
        <v>4.34</v>
      </c>
      <c r="Q145" s="179">
        <f t="shared" si="3"/>
        <v>5.3916666666666666</v>
      </c>
      <c r="R145" s="179" t="s">
        <v>994</v>
      </c>
    </row>
    <row r="146" spans="1:18" x14ac:dyDescent="0.15">
      <c r="A146" s="179" t="str">
        <f t="shared" si="0"/>
        <v>Benito Juarez_Optimal Summer_90</v>
      </c>
      <c r="B146" s="501" t="s">
        <v>1121</v>
      </c>
      <c r="C146" s="429">
        <v>4</v>
      </c>
      <c r="D146" s="429">
        <v>90</v>
      </c>
      <c r="E146" s="431">
        <v>4</v>
      </c>
      <c r="F146" s="431">
        <v>4.72</v>
      </c>
      <c r="G146" s="431">
        <v>5.29</v>
      </c>
      <c r="H146" s="431">
        <v>5.13</v>
      </c>
      <c r="I146" s="431">
        <v>4.93</v>
      </c>
      <c r="J146" s="431">
        <v>4.49</v>
      </c>
      <c r="K146" s="431">
        <v>4.41</v>
      </c>
      <c r="L146" s="431">
        <v>4.25</v>
      </c>
      <c r="M146" s="431">
        <v>3.94</v>
      </c>
      <c r="N146" s="431">
        <v>4</v>
      </c>
      <c r="O146" s="431">
        <v>4</v>
      </c>
      <c r="P146" s="431">
        <v>3.66</v>
      </c>
      <c r="Q146" s="179">
        <f t="shared" si="3"/>
        <v>4.4016666666666664</v>
      </c>
      <c r="R146" s="179" t="s">
        <v>958</v>
      </c>
    </row>
    <row r="147" spans="1:18" x14ac:dyDescent="0.15">
      <c r="A147" s="179" t="str">
        <f t="shared" si="0"/>
        <v>Benito Juarez_Optimal Summer_112.5</v>
      </c>
      <c r="B147" s="501" t="s">
        <v>1121</v>
      </c>
      <c r="C147" s="429">
        <v>4</v>
      </c>
      <c r="D147" s="429">
        <v>112.5</v>
      </c>
      <c r="E147" s="431">
        <v>4.38</v>
      </c>
      <c r="F147" s="431">
        <v>5.16</v>
      </c>
      <c r="G147" s="431">
        <v>5.78</v>
      </c>
      <c r="H147" s="431">
        <v>5.61</v>
      </c>
      <c r="I147" s="431">
        <v>5.39</v>
      </c>
      <c r="J147" s="431">
        <v>4.91</v>
      </c>
      <c r="K147" s="431">
        <v>4.82</v>
      </c>
      <c r="L147" s="431">
        <v>4.6500000000000004</v>
      </c>
      <c r="M147" s="431">
        <v>4.3099999999999996</v>
      </c>
      <c r="N147" s="431">
        <v>4.38</v>
      </c>
      <c r="O147" s="431">
        <v>4.38</v>
      </c>
      <c r="P147" s="431">
        <v>4</v>
      </c>
      <c r="Q147" s="179">
        <f t="shared" si="3"/>
        <v>4.8141666666666669</v>
      </c>
      <c r="R147" s="179" t="s">
        <v>958</v>
      </c>
    </row>
    <row r="148" spans="1:18" x14ac:dyDescent="0.15">
      <c r="A148" s="179" t="str">
        <f t="shared" si="0"/>
        <v>Benito Juarez_Optimal Summer_135</v>
      </c>
      <c r="B148" s="501" t="s">
        <v>1121</v>
      </c>
      <c r="C148" s="429">
        <v>4</v>
      </c>
      <c r="D148" s="429">
        <v>135</v>
      </c>
      <c r="E148" s="431">
        <v>4.75</v>
      </c>
      <c r="F148" s="431">
        <v>5.6</v>
      </c>
      <c r="G148" s="431">
        <v>6.28</v>
      </c>
      <c r="H148" s="431">
        <v>6.09</v>
      </c>
      <c r="I148" s="431">
        <v>5.85</v>
      </c>
      <c r="J148" s="431">
        <v>5.33</v>
      </c>
      <c r="K148" s="431">
        <v>5.23</v>
      </c>
      <c r="L148" s="431">
        <v>5.04</v>
      </c>
      <c r="M148" s="431">
        <v>4.68</v>
      </c>
      <c r="N148" s="431">
        <v>4.75</v>
      </c>
      <c r="O148" s="431">
        <v>4.75</v>
      </c>
      <c r="P148" s="431">
        <v>4.34</v>
      </c>
      <c r="Q148" s="179">
        <f t="shared" si="3"/>
        <v>5.2241666666666662</v>
      </c>
      <c r="R148" s="179" t="s">
        <v>958</v>
      </c>
    </row>
    <row r="149" spans="1:18" x14ac:dyDescent="0.15">
      <c r="A149" s="179" t="str">
        <f t="shared" si="0"/>
        <v>Benito Juarez_Optimal Summer_157.5</v>
      </c>
      <c r="B149" s="501" t="s">
        <v>1121</v>
      </c>
      <c r="C149" s="429">
        <v>4</v>
      </c>
      <c r="D149" s="429">
        <v>157.5</v>
      </c>
      <c r="E149" s="431">
        <v>4.88</v>
      </c>
      <c r="F149" s="431">
        <v>5.75</v>
      </c>
      <c r="G149" s="431">
        <v>6.44</v>
      </c>
      <c r="H149" s="431">
        <v>6.25</v>
      </c>
      <c r="I149" s="431">
        <v>6.01</v>
      </c>
      <c r="J149" s="431">
        <v>5.47</v>
      </c>
      <c r="K149" s="431">
        <v>5.37</v>
      </c>
      <c r="L149" s="431">
        <v>5.18</v>
      </c>
      <c r="M149" s="431">
        <v>4.8099999999999996</v>
      </c>
      <c r="N149" s="431">
        <v>4.88</v>
      </c>
      <c r="O149" s="431">
        <v>4.88</v>
      </c>
      <c r="P149" s="431">
        <v>4.46</v>
      </c>
      <c r="Q149" s="179">
        <f t="shared" si="3"/>
        <v>5.3649999999999993</v>
      </c>
      <c r="R149" s="179" t="s">
        <v>958</v>
      </c>
    </row>
    <row r="150" spans="1:18" x14ac:dyDescent="0.15">
      <c r="A150" s="179" t="str">
        <f t="shared" si="0"/>
        <v>Benito Juarez_Optimal Summer_180</v>
      </c>
      <c r="B150" s="501" t="s">
        <v>1121</v>
      </c>
      <c r="C150" s="429">
        <v>4</v>
      </c>
      <c r="D150" s="429">
        <v>180</v>
      </c>
      <c r="E150" s="431">
        <v>5</v>
      </c>
      <c r="F150" s="431">
        <v>5.9</v>
      </c>
      <c r="G150" s="431">
        <v>6.61</v>
      </c>
      <c r="H150" s="431">
        <v>6.41</v>
      </c>
      <c r="I150" s="431">
        <v>6.16</v>
      </c>
      <c r="J150" s="431">
        <v>5.61</v>
      </c>
      <c r="K150" s="431">
        <v>5.51</v>
      </c>
      <c r="L150" s="431">
        <v>5.31</v>
      </c>
      <c r="M150" s="431">
        <v>4.93</v>
      </c>
      <c r="N150" s="431">
        <v>5</v>
      </c>
      <c r="O150" s="431">
        <v>5</v>
      </c>
      <c r="P150" s="431">
        <v>4.57</v>
      </c>
      <c r="Q150" s="179">
        <f t="shared" si="3"/>
        <v>5.5008333333333335</v>
      </c>
      <c r="R150" s="179" t="s">
        <v>958</v>
      </c>
    </row>
    <row r="151" spans="1:18" x14ac:dyDescent="0.15">
      <c r="A151" s="179" t="str">
        <f t="shared" si="0"/>
        <v>Benito Juarez_Optimal Summer_202.5</v>
      </c>
      <c r="B151" s="501" t="s">
        <v>1121</v>
      </c>
      <c r="C151" s="429">
        <v>4</v>
      </c>
      <c r="D151" s="429">
        <v>202.5</v>
      </c>
      <c r="E151" s="431">
        <v>4.88</v>
      </c>
      <c r="F151" s="431">
        <v>5.75</v>
      </c>
      <c r="G151" s="431">
        <v>6.44</v>
      </c>
      <c r="H151" s="431">
        <v>6.25</v>
      </c>
      <c r="I151" s="431">
        <v>6.01</v>
      </c>
      <c r="J151" s="431">
        <v>5.47</v>
      </c>
      <c r="K151" s="431">
        <v>5.37</v>
      </c>
      <c r="L151" s="431">
        <v>5.18</v>
      </c>
      <c r="M151" s="431">
        <v>4.8099999999999996</v>
      </c>
      <c r="N151" s="431">
        <v>4.88</v>
      </c>
      <c r="O151" s="431">
        <v>4.88</v>
      </c>
      <c r="P151" s="431">
        <v>4.46</v>
      </c>
      <c r="Q151" s="179">
        <f t="shared" si="3"/>
        <v>5.3649999999999993</v>
      </c>
      <c r="R151" s="179" t="s">
        <v>958</v>
      </c>
    </row>
    <row r="152" spans="1:18" x14ac:dyDescent="0.15">
      <c r="A152" s="179" t="str">
        <f t="shared" si="0"/>
        <v>Benito Juarez_Optimal Summer_225</v>
      </c>
      <c r="B152" s="501" t="s">
        <v>1121</v>
      </c>
      <c r="C152" s="429">
        <v>4</v>
      </c>
      <c r="D152" s="429">
        <v>225</v>
      </c>
      <c r="E152" s="431">
        <v>4.75</v>
      </c>
      <c r="F152" s="431">
        <v>5.6</v>
      </c>
      <c r="G152" s="431">
        <v>6.28</v>
      </c>
      <c r="H152" s="431">
        <v>6.09</v>
      </c>
      <c r="I152" s="431">
        <v>5.85</v>
      </c>
      <c r="J152" s="431">
        <v>5.33</v>
      </c>
      <c r="K152" s="431">
        <v>5.23</v>
      </c>
      <c r="L152" s="431">
        <v>5.04</v>
      </c>
      <c r="M152" s="431">
        <v>4.68</v>
      </c>
      <c r="N152" s="431">
        <v>4.75</v>
      </c>
      <c r="O152" s="431">
        <v>4.75</v>
      </c>
      <c r="P152" s="431">
        <v>4.34</v>
      </c>
      <c r="Q152" s="179">
        <f t="shared" si="3"/>
        <v>5.2241666666666662</v>
      </c>
      <c r="R152" s="179" t="s">
        <v>958</v>
      </c>
    </row>
    <row r="153" spans="1:18" x14ac:dyDescent="0.15">
      <c r="A153" s="179" t="str">
        <f t="shared" si="0"/>
        <v>Benito Juarez_Optimal Summer_247.5</v>
      </c>
      <c r="B153" s="501" t="s">
        <v>1121</v>
      </c>
      <c r="C153" s="429">
        <v>4</v>
      </c>
      <c r="D153" s="429">
        <v>247.5</v>
      </c>
      <c r="E153" s="431">
        <v>4.38</v>
      </c>
      <c r="F153" s="431">
        <v>5.16</v>
      </c>
      <c r="G153" s="431">
        <v>5.78</v>
      </c>
      <c r="H153" s="431">
        <v>5.61</v>
      </c>
      <c r="I153" s="431">
        <v>5.39</v>
      </c>
      <c r="J153" s="431">
        <v>4.91</v>
      </c>
      <c r="K153" s="431">
        <v>4.82</v>
      </c>
      <c r="L153" s="431">
        <v>4.6500000000000004</v>
      </c>
      <c r="M153" s="431">
        <v>4.3099999999999996</v>
      </c>
      <c r="N153" s="431">
        <v>4.38</v>
      </c>
      <c r="O153" s="431">
        <v>4.38</v>
      </c>
      <c r="P153" s="431">
        <v>4</v>
      </c>
      <c r="Q153" s="179">
        <f t="shared" si="3"/>
        <v>4.8141666666666669</v>
      </c>
      <c r="R153" s="179" t="s">
        <v>958</v>
      </c>
    </row>
    <row r="154" spans="1:18" x14ac:dyDescent="0.15">
      <c r="A154" s="179" t="str">
        <f t="shared" si="0"/>
        <v>Benito Juarez_Optimal Summer_270</v>
      </c>
      <c r="B154" s="501" t="s">
        <v>1121</v>
      </c>
      <c r="C154" s="429">
        <v>4</v>
      </c>
      <c r="D154" s="429">
        <v>270</v>
      </c>
      <c r="E154" s="431">
        <v>4</v>
      </c>
      <c r="F154" s="431">
        <v>4.72</v>
      </c>
      <c r="G154" s="431">
        <v>5.29</v>
      </c>
      <c r="H154" s="431">
        <v>5.13</v>
      </c>
      <c r="I154" s="431">
        <v>4.93</v>
      </c>
      <c r="J154" s="431">
        <v>4.49</v>
      </c>
      <c r="K154" s="431">
        <v>4.41</v>
      </c>
      <c r="L154" s="431">
        <v>4.25</v>
      </c>
      <c r="M154" s="431">
        <v>3.94</v>
      </c>
      <c r="N154" s="431">
        <v>4</v>
      </c>
      <c r="O154" s="431">
        <v>4</v>
      </c>
      <c r="P154" s="431">
        <v>3.66</v>
      </c>
      <c r="Q154" s="179">
        <f t="shared" si="3"/>
        <v>4.4016666666666664</v>
      </c>
      <c r="R154" s="179" t="s">
        <v>958</v>
      </c>
    </row>
    <row r="155" spans="1:18" x14ac:dyDescent="0.15">
      <c r="A155" s="179" t="str">
        <f t="shared" si="0"/>
        <v>Benito Juarez_Optimal Year Round_90</v>
      </c>
      <c r="B155" s="501" t="s">
        <v>1121</v>
      </c>
      <c r="C155" s="429">
        <v>19</v>
      </c>
      <c r="D155" s="429">
        <v>90</v>
      </c>
      <c r="E155" s="431">
        <v>4.62</v>
      </c>
      <c r="F155" s="431">
        <v>5.21</v>
      </c>
      <c r="G155" s="431">
        <v>5.5</v>
      </c>
      <c r="H155" s="431">
        <v>5.03</v>
      </c>
      <c r="I155" s="431">
        <v>4.63</v>
      </c>
      <c r="J155" s="431">
        <v>4.47</v>
      </c>
      <c r="K155" s="431">
        <v>4.37</v>
      </c>
      <c r="L155" s="431">
        <v>4.1100000000000003</v>
      </c>
      <c r="M155" s="431">
        <v>3.98</v>
      </c>
      <c r="N155" s="431">
        <v>4.26</v>
      </c>
      <c r="O155" s="431">
        <v>4.54</v>
      </c>
      <c r="P155" s="431">
        <v>4.2300000000000004</v>
      </c>
      <c r="Q155" s="179">
        <f t="shared" si="3"/>
        <v>4.5791666666666657</v>
      </c>
      <c r="R155" s="179" t="s">
        <v>993</v>
      </c>
    </row>
    <row r="156" spans="1:18" x14ac:dyDescent="0.15">
      <c r="A156" s="179" t="str">
        <f t="shared" si="0"/>
        <v>Benito Juarez_Optimal Year Round_112.5</v>
      </c>
      <c r="B156" s="501" t="s">
        <v>1121</v>
      </c>
      <c r="C156" s="429">
        <v>19</v>
      </c>
      <c r="D156" s="429">
        <v>112.5</v>
      </c>
      <c r="E156" s="431">
        <v>5.0599999999999996</v>
      </c>
      <c r="F156" s="431">
        <v>5.7</v>
      </c>
      <c r="G156" s="431">
        <v>6.02</v>
      </c>
      <c r="H156" s="431">
        <v>5.5</v>
      </c>
      <c r="I156" s="431">
        <v>5.07</v>
      </c>
      <c r="J156" s="431">
        <v>4.8899999999999997</v>
      </c>
      <c r="K156" s="431">
        <v>4.78</v>
      </c>
      <c r="L156" s="431">
        <v>4.5</v>
      </c>
      <c r="M156" s="431">
        <v>4.3499999999999996</v>
      </c>
      <c r="N156" s="431">
        <v>4.66</v>
      </c>
      <c r="O156" s="431">
        <v>4.97</v>
      </c>
      <c r="P156" s="431">
        <v>4.63</v>
      </c>
      <c r="Q156" s="179">
        <f t="shared" si="3"/>
        <v>5.0108333333333333</v>
      </c>
      <c r="R156" s="179" t="s">
        <v>993</v>
      </c>
    </row>
    <row r="157" spans="1:18" x14ac:dyDescent="0.15">
      <c r="A157" s="179" t="str">
        <f t="shared" si="0"/>
        <v>Benito Juarez_Optimal Year Round_135</v>
      </c>
      <c r="B157" s="501" t="s">
        <v>1121</v>
      </c>
      <c r="C157" s="429">
        <v>19</v>
      </c>
      <c r="D157" s="429">
        <v>135</v>
      </c>
      <c r="E157" s="431">
        <v>5.49</v>
      </c>
      <c r="F157" s="431">
        <v>6.18</v>
      </c>
      <c r="G157" s="431">
        <v>6.54</v>
      </c>
      <c r="H157" s="431">
        <v>5.98</v>
      </c>
      <c r="I157" s="431">
        <v>5.5</v>
      </c>
      <c r="J157" s="431">
        <v>5.31</v>
      </c>
      <c r="K157" s="431">
        <v>5.19</v>
      </c>
      <c r="L157" s="431">
        <v>4.88</v>
      </c>
      <c r="M157" s="431">
        <v>4.72</v>
      </c>
      <c r="N157" s="431">
        <v>5.0599999999999996</v>
      </c>
      <c r="O157" s="431">
        <v>5.4</v>
      </c>
      <c r="P157" s="431">
        <v>5.03</v>
      </c>
      <c r="Q157" s="179">
        <f t="shared" si="3"/>
        <v>5.44</v>
      </c>
      <c r="R157" s="179" t="s">
        <v>993</v>
      </c>
    </row>
    <row r="158" spans="1:18" x14ac:dyDescent="0.15">
      <c r="A158" s="179" t="str">
        <f t="shared" si="0"/>
        <v>Benito Juarez_Optimal Year Round_157.5</v>
      </c>
      <c r="B158" s="501" t="s">
        <v>1121</v>
      </c>
      <c r="C158" s="429">
        <v>19</v>
      </c>
      <c r="D158" s="429">
        <v>157.5</v>
      </c>
      <c r="E158" s="431">
        <v>5.64</v>
      </c>
      <c r="F158" s="431">
        <v>6.35</v>
      </c>
      <c r="G158" s="431">
        <v>6.71</v>
      </c>
      <c r="H158" s="431">
        <v>6.13</v>
      </c>
      <c r="I158" s="431">
        <v>5.65</v>
      </c>
      <c r="J158" s="431">
        <v>5.45</v>
      </c>
      <c r="K158" s="431">
        <v>5.32</v>
      </c>
      <c r="L158" s="431">
        <v>5.01</v>
      </c>
      <c r="M158" s="431">
        <v>4.8499999999999996</v>
      </c>
      <c r="N158" s="431">
        <v>5.2</v>
      </c>
      <c r="O158" s="431">
        <v>5.54</v>
      </c>
      <c r="P158" s="431">
        <v>5.16</v>
      </c>
      <c r="Q158" s="179">
        <f t="shared" si="3"/>
        <v>5.5841666666666674</v>
      </c>
      <c r="R158" s="179" t="s">
        <v>993</v>
      </c>
    </row>
    <row r="159" spans="1:18" x14ac:dyDescent="0.15">
      <c r="A159" s="179" t="str">
        <f t="shared" si="0"/>
        <v>Benito Juarez_Optimal Year Round_180</v>
      </c>
      <c r="B159" s="501" t="s">
        <v>1121</v>
      </c>
      <c r="C159" s="429">
        <v>19</v>
      </c>
      <c r="D159" s="429">
        <v>180</v>
      </c>
      <c r="E159" s="431">
        <v>5.78</v>
      </c>
      <c r="F159" s="431">
        <v>6.51</v>
      </c>
      <c r="G159" s="431">
        <v>6.88</v>
      </c>
      <c r="H159" s="431">
        <v>6.29</v>
      </c>
      <c r="I159" s="431">
        <v>5.79</v>
      </c>
      <c r="J159" s="431">
        <v>5.59</v>
      </c>
      <c r="K159" s="431">
        <v>5.46</v>
      </c>
      <c r="L159" s="431">
        <v>5.14</v>
      </c>
      <c r="M159" s="431">
        <v>4.97</v>
      </c>
      <c r="N159" s="431">
        <v>5.33</v>
      </c>
      <c r="O159" s="431">
        <v>5.68</v>
      </c>
      <c r="P159" s="431">
        <v>5.29</v>
      </c>
      <c r="Q159" s="179">
        <f t="shared" si="3"/>
        <v>5.7258333333333331</v>
      </c>
      <c r="R159" s="179" t="s">
        <v>993</v>
      </c>
    </row>
    <row r="160" spans="1:18" x14ac:dyDescent="0.15">
      <c r="A160" s="179" t="str">
        <f t="shared" si="0"/>
        <v>Benito Juarez_Optimal Year Round_202.5</v>
      </c>
      <c r="B160" s="501" t="s">
        <v>1121</v>
      </c>
      <c r="C160" s="429">
        <v>19</v>
      </c>
      <c r="D160" s="429">
        <v>202.5</v>
      </c>
      <c r="E160" s="431">
        <v>5.64</v>
      </c>
      <c r="F160" s="431">
        <v>6.35</v>
      </c>
      <c r="G160" s="431">
        <v>6.71</v>
      </c>
      <c r="H160" s="431">
        <v>6.13</v>
      </c>
      <c r="I160" s="431">
        <v>5.65</v>
      </c>
      <c r="J160" s="431">
        <v>5.45</v>
      </c>
      <c r="K160" s="431">
        <v>5.32</v>
      </c>
      <c r="L160" s="431">
        <v>5.01</v>
      </c>
      <c r="M160" s="431">
        <v>4.8499999999999996</v>
      </c>
      <c r="N160" s="431">
        <v>5.2</v>
      </c>
      <c r="O160" s="431">
        <v>5.54</v>
      </c>
      <c r="P160" s="431">
        <v>5.16</v>
      </c>
      <c r="Q160" s="179">
        <f t="shared" si="3"/>
        <v>5.5841666666666674</v>
      </c>
      <c r="R160" s="179" t="s">
        <v>993</v>
      </c>
    </row>
    <row r="161" spans="1:18" x14ac:dyDescent="0.15">
      <c r="A161" s="179" t="str">
        <f t="shared" si="0"/>
        <v>Benito Juarez_Optimal Year Round_225</v>
      </c>
      <c r="B161" s="501" t="s">
        <v>1121</v>
      </c>
      <c r="C161" s="429">
        <v>19</v>
      </c>
      <c r="D161" s="429">
        <v>225</v>
      </c>
      <c r="E161" s="431">
        <v>5.49</v>
      </c>
      <c r="F161" s="431">
        <v>6.18</v>
      </c>
      <c r="G161" s="431">
        <v>6.54</v>
      </c>
      <c r="H161" s="431">
        <v>5.98</v>
      </c>
      <c r="I161" s="431">
        <v>5.5</v>
      </c>
      <c r="J161" s="431">
        <v>5.31</v>
      </c>
      <c r="K161" s="431">
        <v>5.19</v>
      </c>
      <c r="L161" s="431">
        <v>4.88</v>
      </c>
      <c r="M161" s="431">
        <v>4.72</v>
      </c>
      <c r="N161" s="431">
        <v>5.0599999999999996</v>
      </c>
      <c r="O161" s="431">
        <v>5.4</v>
      </c>
      <c r="P161" s="431">
        <v>5.03</v>
      </c>
      <c r="Q161" s="179">
        <f t="shared" si="3"/>
        <v>5.44</v>
      </c>
      <c r="R161" s="179" t="s">
        <v>993</v>
      </c>
    </row>
    <row r="162" spans="1:18" x14ac:dyDescent="0.15">
      <c r="A162" s="179" t="str">
        <f t="shared" si="0"/>
        <v>Benito Juarez_Optimal Year Round_247.5</v>
      </c>
      <c r="B162" s="501" t="s">
        <v>1121</v>
      </c>
      <c r="C162" s="429">
        <v>19</v>
      </c>
      <c r="D162" s="429">
        <v>247.5</v>
      </c>
      <c r="E162" s="431">
        <v>5.0599999999999996</v>
      </c>
      <c r="F162" s="431">
        <v>5.7</v>
      </c>
      <c r="G162" s="431">
        <v>6.02</v>
      </c>
      <c r="H162" s="431">
        <v>5.5</v>
      </c>
      <c r="I162" s="431">
        <v>5.07</v>
      </c>
      <c r="J162" s="431">
        <v>4.8899999999999997</v>
      </c>
      <c r="K162" s="431">
        <v>4.78</v>
      </c>
      <c r="L162" s="431">
        <v>4.5</v>
      </c>
      <c r="M162" s="431">
        <v>4.3499999999999996</v>
      </c>
      <c r="N162" s="431">
        <v>4.66</v>
      </c>
      <c r="O162" s="431">
        <v>4.97</v>
      </c>
      <c r="P162" s="431">
        <v>4.63</v>
      </c>
      <c r="Q162" s="179">
        <f t="shared" si="3"/>
        <v>5.0108333333333333</v>
      </c>
      <c r="R162" s="179" t="s">
        <v>993</v>
      </c>
    </row>
    <row r="163" spans="1:18" x14ac:dyDescent="0.15">
      <c r="A163" s="179" t="str">
        <f t="shared" si="0"/>
        <v>Benito Juarez_Optimal Year Round_270</v>
      </c>
      <c r="B163" s="501" t="s">
        <v>1121</v>
      </c>
      <c r="C163" s="429">
        <v>19</v>
      </c>
      <c r="D163" s="429">
        <v>270</v>
      </c>
      <c r="E163" s="431">
        <v>4.62</v>
      </c>
      <c r="F163" s="431">
        <v>5.21</v>
      </c>
      <c r="G163" s="431">
        <v>5.5</v>
      </c>
      <c r="H163" s="431">
        <v>5.03</v>
      </c>
      <c r="I163" s="431">
        <v>4.63</v>
      </c>
      <c r="J163" s="431">
        <v>4.47</v>
      </c>
      <c r="K163" s="431">
        <v>4.37</v>
      </c>
      <c r="L163" s="431">
        <v>4.1100000000000003</v>
      </c>
      <c r="M163" s="431">
        <v>3.98</v>
      </c>
      <c r="N163" s="431">
        <v>4.26</v>
      </c>
      <c r="O163" s="431">
        <v>4.54</v>
      </c>
      <c r="P163" s="431">
        <v>4.2300000000000004</v>
      </c>
      <c r="Q163" s="179">
        <f t="shared" si="3"/>
        <v>4.5791666666666657</v>
      </c>
      <c r="R163" s="179" t="s">
        <v>993</v>
      </c>
    </row>
    <row r="164" spans="1:18" x14ac:dyDescent="0.15">
      <c r="A164" s="179" t="str">
        <f t="shared" si="0"/>
        <v>Campeche_Flat Surface_90</v>
      </c>
      <c r="B164" s="501" t="s">
        <v>621</v>
      </c>
      <c r="C164" s="429">
        <v>0</v>
      </c>
      <c r="D164" s="429">
        <v>90</v>
      </c>
      <c r="E164" s="431">
        <v>4.5599999999999996</v>
      </c>
      <c r="F164" s="431">
        <v>5.4</v>
      </c>
      <c r="G164" s="431">
        <v>6.14</v>
      </c>
      <c r="H164" s="431">
        <v>6.63</v>
      </c>
      <c r="I164" s="431">
        <v>6.88</v>
      </c>
      <c r="J164" s="431">
        <v>6.65</v>
      </c>
      <c r="K164" s="431">
        <v>6.63</v>
      </c>
      <c r="L164" s="431">
        <v>6.41</v>
      </c>
      <c r="M164" s="431">
        <v>5.98</v>
      </c>
      <c r="N164" s="431">
        <v>5.24</v>
      </c>
      <c r="O164" s="431">
        <v>4.71</v>
      </c>
      <c r="P164" s="431">
        <v>4.0999999999999996</v>
      </c>
      <c r="Q164" s="179">
        <f t="shared" si="3"/>
        <v>5.7774999999999999</v>
      </c>
      <c r="R164" s="179" t="s">
        <v>994</v>
      </c>
    </row>
    <row r="165" spans="1:18" x14ac:dyDescent="0.15">
      <c r="A165" s="179" t="str">
        <f t="shared" si="0"/>
        <v>Campeche_Flat Surface_112.5</v>
      </c>
      <c r="B165" s="501" t="s">
        <v>621</v>
      </c>
      <c r="C165" s="429">
        <v>0</v>
      </c>
      <c r="D165" s="429">
        <v>112.5</v>
      </c>
      <c r="E165" s="431">
        <v>4.5599999999999996</v>
      </c>
      <c r="F165" s="431">
        <v>5.4</v>
      </c>
      <c r="G165" s="431">
        <v>6.14</v>
      </c>
      <c r="H165" s="431">
        <v>6.63</v>
      </c>
      <c r="I165" s="431">
        <v>6.88</v>
      </c>
      <c r="J165" s="431">
        <v>6.65</v>
      </c>
      <c r="K165" s="431">
        <v>6.63</v>
      </c>
      <c r="L165" s="431">
        <v>6.41</v>
      </c>
      <c r="M165" s="431">
        <v>5.98</v>
      </c>
      <c r="N165" s="431">
        <v>5.24</v>
      </c>
      <c r="O165" s="431">
        <v>4.71</v>
      </c>
      <c r="P165" s="431">
        <v>4.0999999999999996</v>
      </c>
      <c r="Q165" s="179">
        <f t="shared" si="3"/>
        <v>5.7774999999999999</v>
      </c>
      <c r="R165" s="179" t="s">
        <v>994</v>
      </c>
    </row>
    <row r="166" spans="1:18" x14ac:dyDescent="0.15">
      <c r="A166" s="179" t="str">
        <f t="shared" si="0"/>
        <v>Campeche_Flat Surface_135</v>
      </c>
      <c r="B166" s="501" t="s">
        <v>621</v>
      </c>
      <c r="C166" s="429">
        <v>0</v>
      </c>
      <c r="D166" s="429">
        <v>135</v>
      </c>
      <c r="E166" s="431">
        <v>4.5599999999999996</v>
      </c>
      <c r="F166" s="431">
        <v>5.4</v>
      </c>
      <c r="G166" s="431">
        <v>6.14</v>
      </c>
      <c r="H166" s="431">
        <v>6.63</v>
      </c>
      <c r="I166" s="431">
        <v>6.88</v>
      </c>
      <c r="J166" s="431">
        <v>6.65</v>
      </c>
      <c r="K166" s="431">
        <v>6.63</v>
      </c>
      <c r="L166" s="431">
        <v>6.41</v>
      </c>
      <c r="M166" s="431">
        <v>5.98</v>
      </c>
      <c r="N166" s="431">
        <v>5.24</v>
      </c>
      <c r="O166" s="431">
        <v>4.71</v>
      </c>
      <c r="P166" s="431">
        <v>4.0999999999999996</v>
      </c>
      <c r="Q166" s="179">
        <f t="shared" si="3"/>
        <v>5.7774999999999999</v>
      </c>
      <c r="R166" s="179" t="s">
        <v>994</v>
      </c>
    </row>
    <row r="167" spans="1:18" x14ac:dyDescent="0.15">
      <c r="A167" s="179" t="str">
        <f t="shared" si="0"/>
        <v>Campeche_Flat Surface_157.5</v>
      </c>
      <c r="B167" s="501" t="s">
        <v>621</v>
      </c>
      <c r="C167" s="429">
        <v>0</v>
      </c>
      <c r="D167" s="429">
        <v>157.5</v>
      </c>
      <c r="E167" s="431">
        <v>4.5599999999999996</v>
      </c>
      <c r="F167" s="431">
        <v>5.4</v>
      </c>
      <c r="G167" s="431">
        <v>6.14</v>
      </c>
      <c r="H167" s="431">
        <v>6.63</v>
      </c>
      <c r="I167" s="431">
        <v>6.88</v>
      </c>
      <c r="J167" s="431">
        <v>6.65</v>
      </c>
      <c r="K167" s="431">
        <v>6.63</v>
      </c>
      <c r="L167" s="431">
        <v>6.41</v>
      </c>
      <c r="M167" s="431">
        <v>5.98</v>
      </c>
      <c r="N167" s="431">
        <v>5.24</v>
      </c>
      <c r="O167" s="431">
        <v>4.71</v>
      </c>
      <c r="P167" s="431">
        <v>4.0999999999999996</v>
      </c>
      <c r="Q167" s="179">
        <f t="shared" si="3"/>
        <v>5.7774999999999999</v>
      </c>
      <c r="R167" s="179" t="s">
        <v>994</v>
      </c>
    </row>
    <row r="168" spans="1:18" x14ac:dyDescent="0.15">
      <c r="A168" s="179" t="str">
        <f t="shared" si="0"/>
        <v>Campeche_Flat Surface_180</v>
      </c>
      <c r="B168" s="501" t="s">
        <v>621</v>
      </c>
      <c r="C168" s="429">
        <v>0</v>
      </c>
      <c r="D168" s="429">
        <v>180</v>
      </c>
      <c r="E168" s="431">
        <v>4.5599999999999996</v>
      </c>
      <c r="F168" s="431">
        <v>5.4</v>
      </c>
      <c r="G168" s="431">
        <v>6.14</v>
      </c>
      <c r="H168" s="431">
        <v>6.63</v>
      </c>
      <c r="I168" s="431">
        <v>6.88</v>
      </c>
      <c r="J168" s="431">
        <v>6.65</v>
      </c>
      <c r="K168" s="431">
        <v>6.63</v>
      </c>
      <c r="L168" s="431">
        <v>6.41</v>
      </c>
      <c r="M168" s="431">
        <v>5.98</v>
      </c>
      <c r="N168" s="431">
        <v>5.24</v>
      </c>
      <c r="O168" s="431">
        <v>4.71</v>
      </c>
      <c r="P168" s="431">
        <v>4.0999999999999996</v>
      </c>
      <c r="Q168" s="179">
        <f t="shared" si="3"/>
        <v>5.7774999999999999</v>
      </c>
      <c r="R168" s="179" t="s">
        <v>994</v>
      </c>
    </row>
    <row r="169" spans="1:18" x14ac:dyDescent="0.15">
      <c r="A169" s="179" t="str">
        <f t="shared" si="0"/>
        <v>Campeche_Flat Surface_202.5</v>
      </c>
      <c r="B169" s="501" t="s">
        <v>621</v>
      </c>
      <c r="C169" s="429">
        <v>0</v>
      </c>
      <c r="D169" s="429">
        <v>202.5</v>
      </c>
      <c r="E169" s="431">
        <v>4.5599999999999996</v>
      </c>
      <c r="F169" s="431">
        <v>5.4</v>
      </c>
      <c r="G169" s="431">
        <v>6.14</v>
      </c>
      <c r="H169" s="431">
        <v>6.63</v>
      </c>
      <c r="I169" s="431">
        <v>6.88</v>
      </c>
      <c r="J169" s="431">
        <v>6.65</v>
      </c>
      <c r="K169" s="431">
        <v>6.63</v>
      </c>
      <c r="L169" s="431">
        <v>6.41</v>
      </c>
      <c r="M169" s="431">
        <v>5.98</v>
      </c>
      <c r="N169" s="431">
        <v>5.24</v>
      </c>
      <c r="O169" s="431">
        <v>4.71</v>
      </c>
      <c r="P169" s="431">
        <v>4.0999999999999996</v>
      </c>
      <c r="Q169" s="179">
        <f t="shared" si="3"/>
        <v>5.7774999999999999</v>
      </c>
      <c r="R169" s="179" t="s">
        <v>994</v>
      </c>
    </row>
    <row r="170" spans="1:18" x14ac:dyDescent="0.15">
      <c r="A170" s="179" t="str">
        <f t="shared" si="0"/>
        <v>Campeche_Flat Surface_225</v>
      </c>
      <c r="B170" s="501" t="s">
        <v>621</v>
      </c>
      <c r="C170" s="429">
        <v>0</v>
      </c>
      <c r="D170" s="429">
        <v>225</v>
      </c>
      <c r="E170" s="431">
        <v>4.5599999999999996</v>
      </c>
      <c r="F170" s="431">
        <v>5.4</v>
      </c>
      <c r="G170" s="431">
        <v>6.14</v>
      </c>
      <c r="H170" s="431">
        <v>6.63</v>
      </c>
      <c r="I170" s="431">
        <v>6.88</v>
      </c>
      <c r="J170" s="431">
        <v>6.65</v>
      </c>
      <c r="K170" s="431">
        <v>6.63</v>
      </c>
      <c r="L170" s="431">
        <v>6.41</v>
      </c>
      <c r="M170" s="431">
        <v>5.98</v>
      </c>
      <c r="N170" s="431">
        <v>5.24</v>
      </c>
      <c r="O170" s="431">
        <v>4.71</v>
      </c>
      <c r="P170" s="431">
        <v>4.0999999999999996</v>
      </c>
      <c r="Q170" s="179">
        <f t="shared" si="3"/>
        <v>5.7774999999999999</v>
      </c>
      <c r="R170" s="179" t="s">
        <v>994</v>
      </c>
    </row>
    <row r="171" spans="1:18" x14ac:dyDescent="0.15">
      <c r="A171" s="179" t="str">
        <f t="shared" si="0"/>
        <v>Campeche_Flat Surface_247.5</v>
      </c>
      <c r="B171" s="501" t="s">
        <v>621</v>
      </c>
      <c r="C171" s="429">
        <v>0</v>
      </c>
      <c r="D171" s="429">
        <v>247.5</v>
      </c>
      <c r="E171" s="431">
        <v>4.5599999999999996</v>
      </c>
      <c r="F171" s="431">
        <v>5.4</v>
      </c>
      <c r="G171" s="431">
        <v>6.14</v>
      </c>
      <c r="H171" s="431">
        <v>6.63</v>
      </c>
      <c r="I171" s="431">
        <v>6.88</v>
      </c>
      <c r="J171" s="431">
        <v>6.65</v>
      </c>
      <c r="K171" s="431">
        <v>6.63</v>
      </c>
      <c r="L171" s="431">
        <v>6.41</v>
      </c>
      <c r="M171" s="431">
        <v>5.98</v>
      </c>
      <c r="N171" s="431">
        <v>5.24</v>
      </c>
      <c r="O171" s="431">
        <v>4.71</v>
      </c>
      <c r="P171" s="431">
        <v>4.0999999999999996</v>
      </c>
      <c r="Q171" s="179">
        <f t="shared" si="3"/>
        <v>5.7774999999999999</v>
      </c>
      <c r="R171" s="179" t="s">
        <v>994</v>
      </c>
    </row>
    <row r="172" spans="1:18" x14ac:dyDescent="0.15">
      <c r="A172" s="179" t="str">
        <f t="shared" si="0"/>
        <v>Campeche_Flat Surface_270</v>
      </c>
      <c r="B172" s="501" t="s">
        <v>621</v>
      </c>
      <c r="C172" s="429">
        <v>0</v>
      </c>
      <c r="D172" s="429">
        <v>270</v>
      </c>
      <c r="E172" s="431">
        <v>4.5599999999999996</v>
      </c>
      <c r="F172" s="431">
        <v>5.4</v>
      </c>
      <c r="G172" s="431">
        <v>6.14</v>
      </c>
      <c r="H172" s="431">
        <v>6.63</v>
      </c>
      <c r="I172" s="431">
        <v>6.88</v>
      </c>
      <c r="J172" s="431">
        <v>6.65</v>
      </c>
      <c r="K172" s="431">
        <v>6.63</v>
      </c>
      <c r="L172" s="431">
        <v>6.41</v>
      </c>
      <c r="M172" s="431">
        <v>5.98</v>
      </c>
      <c r="N172" s="431">
        <v>5.24</v>
      </c>
      <c r="O172" s="431">
        <v>4.71</v>
      </c>
      <c r="P172" s="431">
        <v>4.0999999999999996</v>
      </c>
      <c r="Q172" s="179">
        <f t="shared" si="3"/>
        <v>5.7774999999999999</v>
      </c>
      <c r="R172" s="179" t="s">
        <v>994</v>
      </c>
    </row>
    <row r="173" spans="1:18" x14ac:dyDescent="0.15">
      <c r="A173" s="179" t="str">
        <f t="shared" si="0"/>
        <v>Campeche_Optimal Summer_90</v>
      </c>
      <c r="B173" s="501" t="s">
        <v>621</v>
      </c>
      <c r="C173" s="429">
        <v>5</v>
      </c>
      <c r="D173" s="429">
        <v>90</v>
      </c>
      <c r="E173" s="431">
        <v>3.83</v>
      </c>
      <c r="F173" s="431">
        <v>4.49</v>
      </c>
      <c r="G173" s="431">
        <v>5.01</v>
      </c>
      <c r="H173" s="431">
        <v>5.33</v>
      </c>
      <c r="I173" s="431">
        <v>5.46</v>
      </c>
      <c r="J173" s="431">
        <v>5.37</v>
      </c>
      <c r="K173" s="431">
        <v>5.34</v>
      </c>
      <c r="L173" s="431">
        <v>5.12</v>
      </c>
      <c r="M173" s="431">
        <v>4.84</v>
      </c>
      <c r="N173" s="431">
        <v>4.3099999999999996</v>
      </c>
      <c r="O173" s="431">
        <v>3.95</v>
      </c>
      <c r="P173" s="431">
        <v>3.45</v>
      </c>
      <c r="Q173" s="179">
        <f t="shared" si="3"/>
        <v>4.708333333333333</v>
      </c>
      <c r="R173" s="179" t="s">
        <v>958</v>
      </c>
    </row>
    <row r="174" spans="1:18" x14ac:dyDescent="0.15">
      <c r="A174" s="179" t="str">
        <f t="shared" si="0"/>
        <v>Campeche_Optimal Summer_112.5</v>
      </c>
      <c r="B174" s="501" t="s">
        <v>621</v>
      </c>
      <c r="C174" s="429">
        <v>5</v>
      </c>
      <c r="D174" s="429">
        <v>112.5</v>
      </c>
      <c r="E174" s="431">
        <v>4.1900000000000004</v>
      </c>
      <c r="F174" s="431">
        <v>4.91</v>
      </c>
      <c r="G174" s="431">
        <v>5.48</v>
      </c>
      <c r="H174" s="431">
        <v>5.83</v>
      </c>
      <c r="I174" s="431">
        <v>5.97</v>
      </c>
      <c r="J174" s="431">
        <v>5.87</v>
      </c>
      <c r="K174" s="431">
        <v>5.84</v>
      </c>
      <c r="L174" s="431">
        <v>5.6</v>
      </c>
      <c r="M174" s="431">
        <v>5.29</v>
      </c>
      <c r="N174" s="431">
        <v>4.72</v>
      </c>
      <c r="O174" s="431">
        <v>4.32</v>
      </c>
      <c r="P174" s="431">
        <v>3.77</v>
      </c>
      <c r="Q174" s="179">
        <f t="shared" si="3"/>
        <v>5.1491666666666669</v>
      </c>
      <c r="R174" s="179" t="s">
        <v>958</v>
      </c>
    </row>
    <row r="175" spans="1:18" x14ac:dyDescent="0.15">
      <c r="A175" s="179" t="str">
        <f t="shared" si="0"/>
        <v>Campeche_Optimal Summer_135</v>
      </c>
      <c r="B175" s="501" t="s">
        <v>621</v>
      </c>
      <c r="C175" s="429">
        <v>5</v>
      </c>
      <c r="D175" s="429">
        <v>135</v>
      </c>
      <c r="E175" s="431">
        <v>4.55</v>
      </c>
      <c r="F175" s="431">
        <v>5.33</v>
      </c>
      <c r="G175" s="431">
        <v>5.95</v>
      </c>
      <c r="H175" s="431">
        <v>6.33</v>
      </c>
      <c r="I175" s="431">
        <v>6.48</v>
      </c>
      <c r="J175" s="431">
        <v>6.37</v>
      </c>
      <c r="K175" s="431">
        <v>6.34</v>
      </c>
      <c r="L175" s="431">
        <v>6.08</v>
      </c>
      <c r="M175" s="431">
        <v>5.75</v>
      </c>
      <c r="N175" s="431">
        <v>5.12</v>
      </c>
      <c r="O175" s="431">
        <v>4.6900000000000004</v>
      </c>
      <c r="P175" s="431">
        <v>4.09</v>
      </c>
      <c r="Q175" s="179">
        <f t="shared" si="3"/>
        <v>5.589999999999999</v>
      </c>
      <c r="R175" s="179" t="s">
        <v>958</v>
      </c>
    </row>
    <row r="176" spans="1:18" x14ac:dyDescent="0.15">
      <c r="A176" s="179" t="str">
        <f t="shared" si="0"/>
        <v>Campeche_Optimal Summer_157.5</v>
      </c>
      <c r="B176" s="501" t="s">
        <v>621</v>
      </c>
      <c r="C176" s="429">
        <v>5</v>
      </c>
      <c r="D176" s="429">
        <v>157.5</v>
      </c>
      <c r="E176" s="431">
        <v>4.67</v>
      </c>
      <c r="F176" s="431">
        <v>5.47</v>
      </c>
      <c r="G176" s="431">
        <v>6.1</v>
      </c>
      <c r="H176" s="431">
        <v>6.49</v>
      </c>
      <c r="I176" s="431">
        <v>6.65</v>
      </c>
      <c r="J176" s="431">
        <v>6.54</v>
      </c>
      <c r="K176" s="431">
        <v>6.5</v>
      </c>
      <c r="L176" s="431">
        <v>6.24</v>
      </c>
      <c r="M176" s="431">
        <v>5.9</v>
      </c>
      <c r="N176" s="431">
        <v>5.26</v>
      </c>
      <c r="O176" s="431">
        <v>4.82</v>
      </c>
      <c r="P176" s="431">
        <v>4.2</v>
      </c>
      <c r="Q176" s="179">
        <f t="shared" si="3"/>
        <v>5.7366666666666672</v>
      </c>
      <c r="R176" s="179" t="s">
        <v>958</v>
      </c>
    </row>
    <row r="177" spans="1:18" x14ac:dyDescent="0.15">
      <c r="A177" s="179" t="str">
        <f t="shared" si="0"/>
        <v>Campeche_Optimal Summer_180</v>
      </c>
      <c r="B177" s="501" t="s">
        <v>621</v>
      </c>
      <c r="C177" s="429">
        <v>5</v>
      </c>
      <c r="D177" s="429">
        <v>180</v>
      </c>
      <c r="E177" s="431">
        <v>4.79</v>
      </c>
      <c r="F177" s="431">
        <v>5.61</v>
      </c>
      <c r="G177" s="431">
        <v>6.26</v>
      </c>
      <c r="H177" s="431">
        <v>6.66</v>
      </c>
      <c r="I177" s="431">
        <v>6.82</v>
      </c>
      <c r="J177" s="431">
        <v>6.71</v>
      </c>
      <c r="K177" s="431">
        <v>6.67</v>
      </c>
      <c r="L177" s="431">
        <v>6.4</v>
      </c>
      <c r="M177" s="431">
        <v>6.05</v>
      </c>
      <c r="N177" s="431">
        <v>5.39</v>
      </c>
      <c r="O177" s="431">
        <v>4.9400000000000004</v>
      </c>
      <c r="P177" s="431">
        <v>4.3099999999999996</v>
      </c>
      <c r="Q177" s="179">
        <f t="shared" si="3"/>
        <v>5.8841666666666663</v>
      </c>
      <c r="R177" s="179" t="s">
        <v>958</v>
      </c>
    </row>
    <row r="178" spans="1:18" x14ac:dyDescent="0.15">
      <c r="A178" s="179" t="str">
        <f t="shared" si="0"/>
        <v>Campeche_Optimal Summer_202.5</v>
      </c>
      <c r="B178" s="501" t="s">
        <v>621</v>
      </c>
      <c r="C178" s="429">
        <v>5</v>
      </c>
      <c r="D178" s="429">
        <v>202.5</v>
      </c>
      <c r="E178" s="431">
        <v>4.67</v>
      </c>
      <c r="F178" s="431">
        <v>5.47</v>
      </c>
      <c r="G178" s="431">
        <v>6.1</v>
      </c>
      <c r="H178" s="431">
        <v>6.49</v>
      </c>
      <c r="I178" s="431">
        <v>6.65</v>
      </c>
      <c r="J178" s="431">
        <v>6.54</v>
      </c>
      <c r="K178" s="431">
        <v>6.5</v>
      </c>
      <c r="L178" s="431">
        <v>6.24</v>
      </c>
      <c r="M178" s="431">
        <v>5.9</v>
      </c>
      <c r="N178" s="431">
        <v>5.26</v>
      </c>
      <c r="O178" s="431">
        <v>4.82</v>
      </c>
      <c r="P178" s="431">
        <v>4.2</v>
      </c>
      <c r="Q178" s="179">
        <f t="shared" si="3"/>
        <v>5.7366666666666672</v>
      </c>
      <c r="R178" s="179" t="s">
        <v>958</v>
      </c>
    </row>
    <row r="179" spans="1:18" x14ac:dyDescent="0.15">
      <c r="A179" s="179" t="str">
        <f t="shared" si="0"/>
        <v>Campeche_Optimal Summer_225</v>
      </c>
      <c r="B179" s="501" t="s">
        <v>621</v>
      </c>
      <c r="C179" s="429">
        <v>5</v>
      </c>
      <c r="D179" s="429">
        <v>225</v>
      </c>
      <c r="E179" s="431">
        <v>4.55</v>
      </c>
      <c r="F179" s="431">
        <v>5.33</v>
      </c>
      <c r="G179" s="431">
        <v>5.95</v>
      </c>
      <c r="H179" s="431">
        <v>6.33</v>
      </c>
      <c r="I179" s="431">
        <v>6.48</v>
      </c>
      <c r="J179" s="431">
        <v>6.37</v>
      </c>
      <c r="K179" s="431">
        <v>6.34</v>
      </c>
      <c r="L179" s="431">
        <v>6.08</v>
      </c>
      <c r="M179" s="431">
        <v>5.75</v>
      </c>
      <c r="N179" s="431">
        <v>5.12</v>
      </c>
      <c r="O179" s="431">
        <v>4.6900000000000004</v>
      </c>
      <c r="P179" s="431">
        <v>4.09</v>
      </c>
      <c r="Q179" s="179">
        <f t="shared" si="3"/>
        <v>5.589999999999999</v>
      </c>
      <c r="R179" s="179" t="s">
        <v>958</v>
      </c>
    </row>
    <row r="180" spans="1:18" x14ac:dyDescent="0.15">
      <c r="A180" s="179" t="str">
        <f t="shared" si="0"/>
        <v>Campeche_Optimal Summer_247.5</v>
      </c>
      <c r="B180" s="501" t="s">
        <v>621</v>
      </c>
      <c r="C180" s="429">
        <v>5</v>
      </c>
      <c r="D180" s="429">
        <v>247.5</v>
      </c>
      <c r="E180" s="431">
        <v>4.1900000000000004</v>
      </c>
      <c r="F180" s="431">
        <v>4.91</v>
      </c>
      <c r="G180" s="431">
        <v>5.48</v>
      </c>
      <c r="H180" s="431">
        <v>5.83</v>
      </c>
      <c r="I180" s="431">
        <v>5.97</v>
      </c>
      <c r="J180" s="431">
        <v>5.87</v>
      </c>
      <c r="K180" s="431">
        <v>5.84</v>
      </c>
      <c r="L180" s="431">
        <v>5.6</v>
      </c>
      <c r="M180" s="431">
        <v>5.29</v>
      </c>
      <c r="N180" s="431">
        <v>4.72</v>
      </c>
      <c r="O180" s="431">
        <v>4.32</v>
      </c>
      <c r="P180" s="431">
        <v>3.77</v>
      </c>
      <c r="Q180" s="179">
        <f t="shared" si="3"/>
        <v>5.1491666666666669</v>
      </c>
      <c r="R180" s="179" t="s">
        <v>958</v>
      </c>
    </row>
    <row r="181" spans="1:18" x14ac:dyDescent="0.15">
      <c r="A181" s="179" t="str">
        <f t="shared" si="0"/>
        <v>Campeche_Optimal Summer_270</v>
      </c>
      <c r="B181" s="501" t="s">
        <v>621</v>
      </c>
      <c r="C181" s="429">
        <v>5</v>
      </c>
      <c r="D181" s="429">
        <v>270</v>
      </c>
      <c r="E181" s="431">
        <v>3.83</v>
      </c>
      <c r="F181" s="431">
        <v>4.49</v>
      </c>
      <c r="G181" s="431">
        <v>5.01</v>
      </c>
      <c r="H181" s="431">
        <v>5.33</v>
      </c>
      <c r="I181" s="431">
        <v>5.46</v>
      </c>
      <c r="J181" s="431">
        <v>5.37</v>
      </c>
      <c r="K181" s="431">
        <v>5.34</v>
      </c>
      <c r="L181" s="431">
        <v>5.12</v>
      </c>
      <c r="M181" s="431">
        <v>4.84</v>
      </c>
      <c r="N181" s="431">
        <v>4.3099999999999996</v>
      </c>
      <c r="O181" s="431">
        <v>3.95</v>
      </c>
      <c r="P181" s="431">
        <v>3.45</v>
      </c>
      <c r="Q181" s="179">
        <f t="shared" si="3"/>
        <v>4.708333333333333</v>
      </c>
      <c r="R181" s="179" t="s">
        <v>958</v>
      </c>
    </row>
    <row r="182" spans="1:18" x14ac:dyDescent="0.15">
      <c r="A182" s="179" t="str">
        <f t="shared" si="0"/>
        <v>Campeche_Optimal Year Round_90</v>
      </c>
      <c r="B182" s="501" t="s">
        <v>621</v>
      </c>
      <c r="C182" s="429">
        <v>20</v>
      </c>
      <c r="D182" s="429">
        <v>90</v>
      </c>
      <c r="E182" s="431">
        <v>4.42</v>
      </c>
      <c r="F182" s="431">
        <v>4.9400000000000004</v>
      </c>
      <c r="G182" s="431">
        <v>5.21</v>
      </c>
      <c r="H182" s="431">
        <v>5.24</v>
      </c>
      <c r="I182" s="431">
        <v>5.1100000000000003</v>
      </c>
      <c r="J182" s="431">
        <v>5.36</v>
      </c>
      <c r="K182" s="431">
        <v>5.3</v>
      </c>
      <c r="L182" s="431">
        <v>4.95</v>
      </c>
      <c r="M182" s="431">
        <v>4.91</v>
      </c>
      <c r="N182" s="431">
        <v>4.63</v>
      </c>
      <c r="O182" s="431">
        <v>4.49</v>
      </c>
      <c r="P182" s="431">
        <v>3.97</v>
      </c>
      <c r="Q182" s="179">
        <f t="shared" si="3"/>
        <v>4.8775000000000004</v>
      </c>
      <c r="R182" s="179" t="s">
        <v>993</v>
      </c>
    </row>
    <row r="183" spans="1:18" x14ac:dyDescent="0.15">
      <c r="A183" s="179" t="str">
        <f t="shared" si="0"/>
        <v>Campeche_Optimal Year Round_112.5</v>
      </c>
      <c r="B183" s="501" t="s">
        <v>621</v>
      </c>
      <c r="C183" s="429">
        <v>20</v>
      </c>
      <c r="D183" s="429">
        <v>112.5</v>
      </c>
      <c r="E183" s="431">
        <v>4.83</v>
      </c>
      <c r="F183" s="431">
        <v>5.4</v>
      </c>
      <c r="G183" s="431">
        <v>5.7</v>
      </c>
      <c r="H183" s="431">
        <v>5.73</v>
      </c>
      <c r="I183" s="431">
        <v>5.59</v>
      </c>
      <c r="J183" s="431">
        <v>5.86</v>
      </c>
      <c r="K183" s="431">
        <v>5.8</v>
      </c>
      <c r="L183" s="431">
        <v>5.42</v>
      </c>
      <c r="M183" s="431">
        <v>5.37</v>
      </c>
      <c r="N183" s="431">
        <v>5.07</v>
      </c>
      <c r="O183" s="431">
        <v>4.91</v>
      </c>
      <c r="P183" s="431">
        <v>4.34</v>
      </c>
      <c r="Q183" s="179">
        <f t="shared" si="3"/>
        <v>5.335</v>
      </c>
      <c r="R183" s="179" t="s">
        <v>993</v>
      </c>
    </row>
    <row r="184" spans="1:18" x14ac:dyDescent="0.15">
      <c r="A184" s="179" t="str">
        <f t="shared" si="0"/>
        <v>Campeche_Optimal Year Round_135</v>
      </c>
      <c r="B184" s="501" t="s">
        <v>621</v>
      </c>
      <c r="C184" s="429">
        <v>20</v>
      </c>
      <c r="D184" s="429">
        <v>135</v>
      </c>
      <c r="E184" s="431">
        <v>5.24</v>
      </c>
      <c r="F184" s="431">
        <v>5.86</v>
      </c>
      <c r="G184" s="431">
        <v>6.18</v>
      </c>
      <c r="H184" s="431">
        <v>6.22</v>
      </c>
      <c r="I184" s="431">
        <v>6.07</v>
      </c>
      <c r="J184" s="431">
        <v>6.36</v>
      </c>
      <c r="K184" s="431">
        <v>6.3</v>
      </c>
      <c r="L184" s="431">
        <v>5.88</v>
      </c>
      <c r="M184" s="431">
        <v>5.83</v>
      </c>
      <c r="N184" s="431">
        <v>5.5</v>
      </c>
      <c r="O184" s="431">
        <v>5.33</v>
      </c>
      <c r="P184" s="431">
        <v>4.71</v>
      </c>
      <c r="Q184" s="179">
        <f t="shared" si="3"/>
        <v>5.7899999999999991</v>
      </c>
      <c r="R184" s="179" t="s">
        <v>993</v>
      </c>
    </row>
    <row r="185" spans="1:18" x14ac:dyDescent="0.15">
      <c r="A185" s="179" t="str">
        <f t="shared" si="0"/>
        <v>Campeche_Optimal Year Round_157.5</v>
      </c>
      <c r="B185" s="501" t="s">
        <v>621</v>
      </c>
      <c r="C185" s="429">
        <v>20</v>
      </c>
      <c r="D185" s="429">
        <v>157.5</v>
      </c>
      <c r="E185" s="431">
        <v>5.38</v>
      </c>
      <c r="F185" s="431">
        <v>6.02</v>
      </c>
      <c r="G185" s="431">
        <v>6.35</v>
      </c>
      <c r="H185" s="431">
        <v>6.39</v>
      </c>
      <c r="I185" s="431">
        <v>6.23</v>
      </c>
      <c r="J185" s="431">
        <v>6.53</v>
      </c>
      <c r="K185" s="431">
        <v>6.46</v>
      </c>
      <c r="L185" s="431">
        <v>6.04</v>
      </c>
      <c r="M185" s="431">
        <v>5.99</v>
      </c>
      <c r="N185" s="431">
        <v>5.65</v>
      </c>
      <c r="O185" s="431">
        <v>5.47</v>
      </c>
      <c r="P185" s="431">
        <v>4.84</v>
      </c>
      <c r="Q185" s="179">
        <f t="shared" si="3"/>
        <v>5.9458333333333337</v>
      </c>
      <c r="R185" s="179" t="s">
        <v>993</v>
      </c>
    </row>
    <row r="186" spans="1:18" x14ac:dyDescent="0.15">
      <c r="A186" s="179" t="str">
        <f t="shared" si="0"/>
        <v>Campeche_Optimal Year Round_180</v>
      </c>
      <c r="B186" s="501" t="s">
        <v>621</v>
      </c>
      <c r="C186" s="429">
        <v>20</v>
      </c>
      <c r="D186" s="429">
        <v>180</v>
      </c>
      <c r="E186" s="431">
        <v>5.52</v>
      </c>
      <c r="F186" s="431">
        <v>6.17</v>
      </c>
      <c r="G186" s="431">
        <v>6.51</v>
      </c>
      <c r="H186" s="431">
        <v>6.55</v>
      </c>
      <c r="I186" s="431">
        <v>6.39</v>
      </c>
      <c r="J186" s="431">
        <v>6.7</v>
      </c>
      <c r="K186" s="431">
        <v>6.63</v>
      </c>
      <c r="L186" s="431">
        <v>6.19</v>
      </c>
      <c r="M186" s="431">
        <v>6.14</v>
      </c>
      <c r="N186" s="431">
        <v>5.79</v>
      </c>
      <c r="O186" s="431">
        <v>5.61</v>
      </c>
      <c r="P186" s="431">
        <v>4.96</v>
      </c>
      <c r="Q186" s="179">
        <f t="shared" si="3"/>
        <v>6.0966666666666667</v>
      </c>
      <c r="R186" s="179" t="s">
        <v>993</v>
      </c>
    </row>
    <row r="187" spans="1:18" x14ac:dyDescent="0.15">
      <c r="A187" s="179" t="str">
        <f t="shared" si="0"/>
        <v>Campeche_Optimal Year Round_202.5</v>
      </c>
      <c r="B187" s="501" t="s">
        <v>621</v>
      </c>
      <c r="C187" s="429">
        <v>20</v>
      </c>
      <c r="D187" s="429">
        <v>202.5</v>
      </c>
      <c r="E187" s="431">
        <v>5.38</v>
      </c>
      <c r="F187" s="431">
        <v>6.02</v>
      </c>
      <c r="G187" s="431">
        <v>6.35</v>
      </c>
      <c r="H187" s="431">
        <v>6.39</v>
      </c>
      <c r="I187" s="431">
        <v>6.23</v>
      </c>
      <c r="J187" s="431">
        <v>6.53</v>
      </c>
      <c r="K187" s="431">
        <v>6.46</v>
      </c>
      <c r="L187" s="431">
        <v>6.04</v>
      </c>
      <c r="M187" s="431">
        <v>5.99</v>
      </c>
      <c r="N187" s="431">
        <v>5.65</v>
      </c>
      <c r="O187" s="431">
        <v>5.47</v>
      </c>
      <c r="P187" s="431">
        <v>4.84</v>
      </c>
      <c r="Q187" s="179">
        <f t="shared" si="3"/>
        <v>5.9458333333333337</v>
      </c>
      <c r="R187" s="179" t="s">
        <v>993</v>
      </c>
    </row>
    <row r="188" spans="1:18" x14ac:dyDescent="0.15">
      <c r="A188" s="179" t="str">
        <f t="shared" si="0"/>
        <v>Campeche_Optimal Year Round_225</v>
      </c>
      <c r="B188" s="501" t="s">
        <v>621</v>
      </c>
      <c r="C188" s="429">
        <v>20</v>
      </c>
      <c r="D188" s="429">
        <v>225</v>
      </c>
      <c r="E188" s="431">
        <v>5.24</v>
      </c>
      <c r="F188" s="431">
        <v>5.86</v>
      </c>
      <c r="G188" s="431">
        <v>6.18</v>
      </c>
      <c r="H188" s="431">
        <v>6.22</v>
      </c>
      <c r="I188" s="431">
        <v>6.07</v>
      </c>
      <c r="J188" s="431">
        <v>6.36</v>
      </c>
      <c r="K188" s="431">
        <v>6.3</v>
      </c>
      <c r="L188" s="431">
        <v>5.88</v>
      </c>
      <c r="M188" s="431">
        <v>5.83</v>
      </c>
      <c r="N188" s="431">
        <v>5.5</v>
      </c>
      <c r="O188" s="431">
        <v>5.33</v>
      </c>
      <c r="P188" s="431">
        <v>4.71</v>
      </c>
      <c r="Q188" s="179">
        <f t="shared" si="3"/>
        <v>5.7899999999999991</v>
      </c>
      <c r="R188" s="179" t="s">
        <v>993</v>
      </c>
    </row>
    <row r="189" spans="1:18" x14ac:dyDescent="0.15">
      <c r="A189" s="179" t="str">
        <f t="shared" si="0"/>
        <v>Campeche_Optimal Year Round_247.5</v>
      </c>
      <c r="B189" s="501" t="s">
        <v>621</v>
      </c>
      <c r="C189" s="429">
        <v>20</v>
      </c>
      <c r="D189" s="429">
        <v>247.5</v>
      </c>
      <c r="E189" s="431">
        <v>4.83</v>
      </c>
      <c r="F189" s="431">
        <v>5.4</v>
      </c>
      <c r="G189" s="431">
        <v>5.7</v>
      </c>
      <c r="H189" s="431">
        <v>5.73</v>
      </c>
      <c r="I189" s="431">
        <v>5.59</v>
      </c>
      <c r="J189" s="431">
        <v>5.86</v>
      </c>
      <c r="K189" s="431">
        <v>5.8</v>
      </c>
      <c r="L189" s="431">
        <v>5.42</v>
      </c>
      <c r="M189" s="431">
        <v>5.37</v>
      </c>
      <c r="N189" s="431">
        <v>5.07</v>
      </c>
      <c r="O189" s="431">
        <v>4.91</v>
      </c>
      <c r="P189" s="431">
        <v>4.34</v>
      </c>
      <c r="Q189" s="179">
        <f t="shared" si="3"/>
        <v>5.335</v>
      </c>
      <c r="R189" s="179" t="s">
        <v>993</v>
      </c>
    </row>
    <row r="190" spans="1:18" x14ac:dyDescent="0.15">
      <c r="A190" s="179" t="str">
        <f t="shared" si="0"/>
        <v>Campeche_Optimal Year Round_270</v>
      </c>
      <c r="B190" s="501" t="s">
        <v>621</v>
      </c>
      <c r="C190" s="429">
        <v>20</v>
      </c>
      <c r="D190" s="429">
        <v>270</v>
      </c>
      <c r="E190" s="431">
        <v>4.42</v>
      </c>
      <c r="F190" s="431">
        <v>4.9400000000000004</v>
      </c>
      <c r="G190" s="431">
        <v>5.21</v>
      </c>
      <c r="H190" s="431">
        <v>5.24</v>
      </c>
      <c r="I190" s="431">
        <v>5.1100000000000003</v>
      </c>
      <c r="J190" s="431">
        <v>5.36</v>
      </c>
      <c r="K190" s="431">
        <v>5.3</v>
      </c>
      <c r="L190" s="431">
        <v>4.95</v>
      </c>
      <c r="M190" s="431">
        <v>4.91</v>
      </c>
      <c r="N190" s="431">
        <v>4.63</v>
      </c>
      <c r="O190" s="431">
        <v>4.49</v>
      </c>
      <c r="P190" s="431">
        <v>3.97</v>
      </c>
      <c r="Q190" s="179">
        <f t="shared" si="3"/>
        <v>4.8775000000000004</v>
      </c>
      <c r="R190" s="179" t="s">
        <v>993</v>
      </c>
    </row>
    <row r="191" spans="1:18" x14ac:dyDescent="0.15">
      <c r="A191" s="179" t="str">
        <f t="shared" si="0"/>
        <v>Cancun_Flat Surface_90</v>
      </c>
      <c r="B191" s="501" t="s">
        <v>987</v>
      </c>
      <c r="C191" s="429">
        <v>0</v>
      </c>
      <c r="D191" s="429">
        <v>90</v>
      </c>
      <c r="E191" s="431">
        <v>4.12</v>
      </c>
      <c r="F191" s="431">
        <v>5.19</v>
      </c>
      <c r="G191" s="431">
        <v>6.01</v>
      </c>
      <c r="H191" s="431">
        <v>6.7</v>
      </c>
      <c r="I191" s="431">
        <v>6.82</v>
      </c>
      <c r="J191" s="431">
        <v>6.36</v>
      </c>
      <c r="K191" s="431">
        <v>6.75</v>
      </c>
      <c r="L191" s="431">
        <v>6.4</v>
      </c>
      <c r="M191" s="431">
        <v>5.69</v>
      </c>
      <c r="N191" s="431">
        <v>5.08</v>
      </c>
      <c r="O191" s="431">
        <v>4.4400000000000004</v>
      </c>
      <c r="P191" s="431">
        <v>3.85</v>
      </c>
      <c r="Q191" s="179">
        <f t="shared" si="3"/>
        <v>5.6174999999999997</v>
      </c>
      <c r="R191" s="179" t="s">
        <v>994</v>
      </c>
    </row>
    <row r="192" spans="1:18" x14ac:dyDescent="0.15">
      <c r="A192" s="179" t="str">
        <f t="shared" si="0"/>
        <v>Cancun_Flat Surface_112.5</v>
      </c>
      <c r="B192" s="501" t="s">
        <v>987</v>
      </c>
      <c r="C192" s="429">
        <v>0</v>
      </c>
      <c r="D192" s="429">
        <v>112.5</v>
      </c>
      <c r="E192" s="431">
        <v>4.12</v>
      </c>
      <c r="F192" s="431">
        <v>5.19</v>
      </c>
      <c r="G192" s="431">
        <v>6.01</v>
      </c>
      <c r="H192" s="431">
        <v>6.7</v>
      </c>
      <c r="I192" s="431">
        <v>6.82</v>
      </c>
      <c r="J192" s="431">
        <v>6.36</v>
      </c>
      <c r="K192" s="431">
        <v>6.75</v>
      </c>
      <c r="L192" s="431">
        <v>6.4</v>
      </c>
      <c r="M192" s="431">
        <v>5.69</v>
      </c>
      <c r="N192" s="431">
        <v>5.08</v>
      </c>
      <c r="O192" s="431">
        <v>4.4400000000000004</v>
      </c>
      <c r="P192" s="431">
        <v>3.85</v>
      </c>
      <c r="Q192" s="179">
        <f t="shared" si="3"/>
        <v>5.6174999999999997</v>
      </c>
      <c r="R192" s="179" t="s">
        <v>994</v>
      </c>
    </row>
    <row r="193" spans="1:18" x14ac:dyDescent="0.15">
      <c r="A193" s="179" t="str">
        <f t="shared" si="0"/>
        <v>Cancun_Flat Surface_135</v>
      </c>
      <c r="B193" s="501" t="s">
        <v>987</v>
      </c>
      <c r="C193" s="429">
        <v>0</v>
      </c>
      <c r="D193" s="429">
        <v>135</v>
      </c>
      <c r="E193" s="431">
        <v>4.12</v>
      </c>
      <c r="F193" s="431">
        <v>5.19</v>
      </c>
      <c r="G193" s="431">
        <v>6.01</v>
      </c>
      <c r="H193" s="431">
        <v>6.7</v>
      </c>
      <c r="I193" s="431">
        <v>6.82</v>
      </c>
      <c r="J193" s="431">
        <v>6.36</v>
      </c>
      <c r="K193" s="431">
        <v>6.75</v>
      </c>
      <c r="L193" s="431">
        <v>6.4</v>
      </c>
      <c r="M193" s="431">
        <v>5.69</v>
      </c>
      <c r="N193" s="431">
        <v>5.08</v>
      </c>
      <c r="O193" s="431">
        <v>4.4400000000000004</v>
      </c>
      <c r="P193" s="431">
        <v>3.85</v>
      </c>
      <c r="Q193" s="179">
        <f t="shared" si="3"/>
        <v>5.6174999999999997</v>
      </c>
      <c r="R193" s="179" t="s">
        <v>994</v>
      </c>
    </row>
    <row r="194" spans="1:18" x14ac:dyDescent="0.15">
      <c r="A194" s="179" t="str">
        <f t="shared" ref="A194:A257" si="4">B194&amp;"_"&amp;R194&amp;"_"&amp;D194</f>
        <v>Cancun_Flat Surface_157.5</v>
      </c>
      <c r="B194" s="501" t="s">
        <v>987</v>
      </c>
      <c r="C194" s="429">
        <v>0</v>
      </c>
      <c r="D194" s="429">
        <v>157.5</v>
      </c>
      <c r="E194" s="431">
        <v>4.12</v>
      </c>
      <c r="F194" s="431">
        <v>5.19</v>
      </c>
      <c r="G194" s="431">
        <v>6.01</v>
      </c>
      <c r="H194" s="431">
        <v>6.7</v>
      </c>
      <c r="I194" s="431">
        <v>6.82</v>
      </c>
      <c r="J194" s="431">
        <v>6.36</v>
      </c>
      <c r="K194" s="431">
        <v>6.75</v>
      </c>
      <c r="L194" s="431">
        <v>6.4</v>
      </c>
      <c r="M194" s="431">
        <v>5.69</v>
      </c>
      <c r="N194" s="431">
        <v>5.08</v>
      </c>
      <c r="O194" s="431">
        <v>4.4400000000000004</v>
      </c>
      <c r="P194" s="431">
        <v>3.85</v>
      </c>
      <c r="Q194" s="179">
        <f t="shared" ref="Q194:Q257" si="5">AVERAGE(E194:P194)</f>
        <v>5.6174999999999997</v>
      </c>
      <c r="R194" s="179" t="s">
        <v>994</v>
      </c>
    </row>
    <row r="195" spans="1:18" x14ac:dyDescent="0.15">
      <c r="A195" s="179" t="str">
        <f t="shared" si="4"/>
        <v>Cancun_Flat Surface_180</v>
      </c>
      <c r="B195" s="501" t="s">
        <v>987</v>
      </c>
      <c r="C195" s="429">
        <v>0</v>
      </c>
      <c r="D195" s="429">
        <v>180</v>
      </c>
      <c r="E195" s="431">
        <v>4.12</v>
      </c>
      <c r="F195" s="431">
        <v>5.19</v>
      </c>
      <c r="G195" s="431">
        <v>6.01</v>
      </c>
      <c r="H195" s="431">
        <v>6.7</v>
      </c>
      <c r="I195" s="431">
        <v>6.82</v>
      </c>
      <c r="J195" s="431">
        <v>6.36</v>
      </c>
      <c r="K195" s="431">
        <v>6.75</v>
      </c>
      <c r="L195" s="431">
        <v>6.4</v>
      </c>
      <c r="M195" s="431">
        <v>5.69</v>
      </c>
      <c r="N195" s="431">
        <v>5.08</v>
      </c>
      <c r="O195" s="431">
        <v>4.4400000000000004</v>
      </c>
      <c r="P195" s="431">
        <v>3.85</v>
      </c>
      <c r="Q195" s="179">
        <f t="shared" si="5"/>
        <v>5.6174999999999997</v>
      </c>
      <c r="R195" s="179" t="s">
        <v>994</v>
      </c>
    </row>
    <row r="196" spans="1:18" x14ac:dyDescent="0.15">
      <c r="A196" s="179" t="str">
        <f t="shared" si="4"/>
        <v>Cancun_Flat Surface_202.5</v>
      </c>
      <c r="B196" s="501" t="s">
        <v>987</v>
      </c>
      <c r="C196" s="429">
        <v>0</v>
      </c>
      <c r="D196" s="429">
        <v>202.5</v>
      </c>
      <c r="E196" s="431">
        <v>4.12</v>
      </c>
      <c r="F196" s="431">
        <v>5.19</v>
      </c>
      <c r="G196" s="431">
        <v>6.01</v>
      </c>
      <c r="H196" s="431">
        <v>6.7</v>
      </c>
      <c r="I196" s="431">
        <v>6.82</v>
      </c>
      <c r="J196" s="431">
        <v>6.36</v>
      </c>
      <c r="K196" s="431">
        <v>6.75</v>
      </c>
      <c r="L196" s="431">
        <v>6.4</v>
      </c>
      <c r="M196" s="431">
        <v>5.69</v>
      </c>
      <c r="N196" s="431">
        <v>5.08</v>
      </c>
      <c r="O196" s="431">
        <v>4.4400000000000004</v>
      </c>
      <c r="P196" s="431">
        <v>3.85</v>
      </c>
      <c r="Q196" s="179">
        <f t="shared" si="5"/>
        <v>5.6174999999999997</v>
      </c>
      <c r="R196" s="179" t="s">
        <v>994</v>
      </c>
    </row>
    <row r="197" spans="1:18" x14ac:dyDescent="0.15">
      <c r="A197" s="179" t="str">
        <f t="shared" si="4"/>
        <v>Cancun_Flat Surface_225</v>
      </c>
      <c r="B197" s="501" t="s">
        <v>987</v>
      </c>
      <c r="C197" s="429">
        <v>0</v>
      </c>
      <c r="D197" s="429">
        <v>225</v>
      </c>
      <c r="E197" s="431">
        <v>4.12</v>
      </c>
      <c r="F197" s="431">
        <v>5.19</v>
      </c>
      <c r="G197" s="431">
        <v>6.01</v>
      </c>
      <c r="H197" s="431">
        <v>6.7</v>
      </c>
      <c r="I197" s="431">
        <v>6.82</v>
      </c>
      <c r="J197" s="431">
        <v>6.36</v>
      </c>
      <c r="K197" s="431">
        <v>6.75</v>
      </c>
      <c r="L197" s="431">
        <v>6.4</v>
      </c>
      <c r="M197" s="431">
        <v>5.69</v>
      </c>
      <c r="N197" s="431">
        <v>5.08</v>
      </c>
      <c r="O197" s="431">
        <v>4.4400000000000004</v>
      </c>
      <c r="P197" s="431">
        <v>3.85</v>
      </c>
      <c r="Q197" s="179">
        <f t="shared" si="5"/>
        <v>5.6174999999999997</v>
      </c>
      <c r="R197" s="179" t="s">
        <v>994</v>
      </c>
    </row>
    <row r="198" spans="1:18" x14ac:dyDescent="0.15">
      <c r="A198" s="179" t="str">
        <f t="shared" si="4"/>
        <v>Cancun_Flat Surface_247.5</v>
      </c>
      <c r="B198" s="501" t="s">
        <v>987</v>
      </c>
      <c r="C198" s="429">
        <v>0</v>
      </c>
      <c r="D198" s="429">
        <v>247.5</v>
      </c>
      <c r="E198" s="431">
        <v>4.12</v>
      </c>
      <c r="F198" s="431">
        <v>5.19</v>
      </c>
      <c r="G198" s="431">
        <v>6.01</v>
      </c>
      <c r="H198" s="431">
        <v>6.7</v>
      </c>
      <c r="I198" s="431">
        <v>6.82</v>
      </c>
      <c r="J198" s="431">
        <v>6.36</v>
      </c>
      <c r="K198" s="431">
        <v>6.75</v>
      </c>
      <c r="L198" s="431">
        <v>6.4</v>
      </c>
      <c r="M198" s="431">
        <v>5.69</v>
      </c>
      <c r="N198" s="431">
        <v>5.08</v>
      </c>
      <c r="O198" s="431">
        <v>4.4400000000000004</v>
      </c>
      <c r="P198" s="431">
        <v>3.85</v>
      </c>
      <c r="Q198" s="179">
        <f t="shared" si="5"/>
        <v>5.6174999999999997</v>
      </c>
      <c r="R198" s="179" t="s">
        <v>994</v>
      </c>
    </row>
    <row r="199" spans="1:18" x14ac:dyDescent="0.15">
      <c r="A199" s="179" t="str">
        <f t="shared" si="4"/>
        <v>Cancun_Flat Surface_270</v>
      </c>
      <c r="B199" s="501" t="s">
        <v>987</v>
      </c>
      <c r="C199" s="429">
        <v>0</v>
      </c>
      <c r="D199" s="429">
        <v>270</v>
      </c>
      <c r="E199" s="431">
        <v>4.12</v>
      </c>
      <c r="F199" s="431">
        <v>5.19</v>
      </c>
      <c r="G199" s="431">
        <v>6.01</v>
      </c>
      <c r="H199" s="431">
        <v>6.7</v>
      </c>
      <c r="I199" s="431">
        <v>6.82</v>
      </c>
      <c r="J199" s="431">
        <v>6.36</v>
      </c>
      <c r="K199" s="431">
        <v>6.75</v>
      </c>
      <c r="L199" s="431">
        <v>6.4</v>
      </c>
      <c r="M199" s="431">
        <v>5.69</v>
      </c>
      <c r="N199" s="431">
        <v>5.08</v>
      </c>
      <c r="O199" s="431">
        <v>4.4400000000000004</v>
      </c>
      <c r="P199" s="431">
        <v>3.85</v>
      </c>
      <c r="Q199" s="179">
        <f t="shared" si="5"/>
        <v>5.6174999999999997</v>
      </c>
      <c r="R199" s="179" t="s">
        <v>994</v>
      </c>
    </row>
    <row r="200" spans="1:18" x14ac:dyDescent="0.15">
      <c r="A200" s="179" t="str">
        <f t="shared" si="4"/>
        <v>Cancun_Optimal Summer_90</v>
      </c>
      <c r="B200" s="501" t="s">
        <v>987</v>
      </c>
      <c r="C200" s="429">
        <v>6</v>
      </c>
      <c r="D200" s="429">
        <v>90</v>
      </c>
      <c r="E200" s="431">
        <v>3.54</v>
      </c>
      <c r="F200" s="431">
        <v>4.38</v>
      </c>
      <c r="G200" s="431">
        <v>4.95</v>
      </c>
      <c r="H200" s="431">
        <v>5.39</v>
      </c>
      <c r="I200" s="431">
        <v>5.39</v>
      </c>
      <c r="J200" s="431">
        <v>5.14</v>
      </c>
      <c r="K200" s="431">
        <v>5.31</v>
      </c>
      <c r="L200" s="431">
        <v>5.12</v>
      </c>
      <c r="M200" s="431">
        <v>4.6399999999999997</v>
      </c>
      <c r="N200" s="431">
        <v>4.25</v>
      </c>
      <c r="O200" s="431">
        <v>3.81</v>
      </c>
      <c r="P200" s="431">
        <v>3.32</v>
      </c>
      <c r="Q200" s="179">
        <f t="shared" si="5"/>
        <v>4.6033333333333335</v>
      </c>
      <c r="R200" s="179" t="s">
        <v>958</v>
      </c>
    </row>
    <row r="201" spans="1:18" x14ac:dyDescent="0.15">
      <c r="A201" s="179" t="str">
        <f t="shared" si="4"/>
        <v>Cancun_Optimal Summer_112.5</v>
      </c>
      <c r="B201" s="501" t="s">
        <v>987</v>
      </c>
      <c r="C201" s="429">
        <v>6</v>
      </c>
      <c r="D201" s="429">
        <v>112.5</v>
      </c>
      <c r="E201" s="431">
        <v>3.88</v>
      </c>
      <c r="F201" s="431">
        <v>4.8</v>
      </c>
      <c r="G201" s="431">
        <v>5.42</v>
      </c>
      <c r="H201" s="431">
        <v>5.9</v>
      </c>
      <c r="I201" s="431">
        <v>5.9</v>
      </c>
      <c r="J201" s="431">
        <v>5.62</v>
      </c>
      <c r="K201" s="431">
        <v>5.81</v>
      </c>
      <c r="L201" s="431">
        <v>5.6</v>
      </c>
      <c r="M201" s="431">
        <v>5.08</v>
      </c>
      <c r="N201" s="431">
        <v>4.6500000000000004</v>
      </c>
      <c r="O201" s="431">
        <v>4.16</v>
      </c>
      <c r="P201" s="431">
        <v>3.63</v>
      </c>
      <c r="Q201" s="179">
        <f t="shared" si="5"/>
        <v>5.0374999999999996</v>
      </c>
      <c r="R201" s="179" t="s">
        <v>958</v>
      </c>
    </row>
    <row r="202" spans="1:18" x14ac:dyDescent="0.15">
      <c r="A202" s="179" t="str">
        <f t="shared" si="4"/>
        <v>Cancun_Optimal Summer_135</v>
      </c>
      <c r="B202" s="501" t="s">
        <v>987</v>
      </c>
      <c r="C202" s="429">
        <v>6</v>
      </c>
      <c r="D202" s="429">
        <v>135</v>
      </c>
      <c r="E202" s="431">
        <v>4.21</v>
      </c>
      <c r="F202" s="431">
        <v>5.21</v>
      </c>
      <c r="G202" s="431">
        <v>5.88</v>
      </c>
      <c r="H202" s="431">
        <v>6.4</v>
      </c>
      <c r="I202" s="431">
        <v>6.4</v>
      </c>
      <c r="J202" s="431">
        <v>6.1</v>
      </c>
      <c r="K202" s="431">
        <v>6.31</v>
      </c>
      <c r="L202" s="431">
        <v>6.08</v>
      </c>
      <c r="M202" s="431">
        <v>5.51</v>
      </c>
      <c r="N202" s="431">
        <v>5.04</v>
      </c>
      <c r="O202" s="431">
        <v>4.5199999999999996</v>
      </c>
      <c r="P202" s="431">
        <v>3.94</v>
      </c>
      <c r="Q202" s="179">
        <f t="shared" si="5"/>
        <v>5.4666666666666659</v>
      </c>
      <c r="R202" s="179" t="s">
        <v>958</v>
      </c>
    </row>
    <row r="203" spans="1:18" x14ac:dyDescent="0.15">
      <c r="A203" s="179" t="str">
        <f t="shared" si="4"/>
        <v>Cancun_Optimal Summer_157.5</v>
      </c>
      <c r="B203" s="501" t="s">
        <v>987</v>
      </c>
      <c r="C203" s="429">
        <v>6</v>
      </c>
      <c r="D203" s="429">
        <v>157.5</v>
      </c>
      <c r="E203" s="431">
        <v>4.32</v>
      </c>
      <c r="F203" s="431">
        <v>5.34</v>
      </c>
      <c r="G203" s="431">
        <v>6.04</v>
      </c>
      <c r="H203" s="431">
        <v>6.57</v>
      </c>
      <c r="I203" s="431">
        <v>6.57</v>
      </c>
      <c r="J203" s="431">
        <v>6.26</v>
      </c>
      <c r="K203" s="431">
        <v>6.47</v>
      </c>
      <c r="L203" s="431">
        <v>6.24</v>
      </c>
      <c r="M203" s="431">
        <v>5.66</v>
      </c>
      <c r="N203" s="431">
        <v>5.18</v>
      </c>
      <c r="O203" s="431">
        <v>4.6399999999999997</v>
      </c>
      <c r="P203" s="431">
        <v>4.05</v>
      </c>
      <c r="Q203" s="179">
        <f t="shared" si="5"/>
        <v>5.6116666666666672</v>
      </c>
      <c r="R203" s="179" t="s">
        <v>958</v>
      </c>
    </row>
    <row r="204" spans="1:18" x14ac:dyDescent="0.15">
      <c r="A204" s="179" t="str">
        <f t="shared" si="4"/>
        <v>Cancun_Optimal Summer_180</v>
      </c>
      <c r="B204" s="501" t="s">
        <v>987</v>
      </c>
      <c r="C204" s="429">
        <v>6</v>
      </c>
      <c r="D204" s="429">
        <v>180</v>
      </c>
      <c r="E204" s="431">
        <v>4.43</v>
      </c>
      <c r="F204" s="431">
        <v>5.48</v>
      </c>
      <c r="G204" s="431">
        <v>6.19</v>
      </c>
      <c r="H204" s="431">
        <v>6.74</v>
      </c>
      <c r="I204" s="431">
        <v>6.74</v>
      </c>
      <c r="J204" s="431">
        <v>6.42</v>
      </c>
      <c r="K204" s="431">
        <v>6.64</v>
      </c>
      <c r="L204" s="431">
        <v>6.4</v>
      </c>
      <c r="M204" s="431">
        <v>5.8</v>
      </c>
      <c r="N204" s="431">
        <v>5.31</v>
      </c>
      <c r="O204" s="431">
        <v>4.76</v>
      </c>
      <c r="P204" s="431">
        <v>4.1500000000000004</v>
      </c>
      <c r="Q204" s="179">
        <f t="shared" si="5"/>
        <v>5.7550000000000017</v>
      </c>
      <c r="R204" s="179" t="s">
        <v>958</v>
      </c>
    </row>
    <row r="205" spans="1:18" x14ac:dyDescent="0.15">
      <c r="A205" s="179" t="str">
        <f t="shared" si="4"/>
        <v>Cancun_Optimal Summer_202.5</v>
      </c>
      <c r="B205" s="501" t="s">
        <v>987</v>
      </c>
      <c r="C205" s="429">
        <v>6</v>
      </c>
      <c r="D205" s="429">
        <v>202.5</v>
      </c>
      <c r="E205" s="431">
        <v>4.32</v>
      </c>
      <c r="F205" s="431">
        <v>5.34</v>
      </c>
      <c r="G205" s="431">
        <v>6.04</v>
      </c>
      <c r="H205" s="431">
        <v>6.57</v>
      </c>
      <c r="I205" s="431">
        <v>6.57</v>
      </c>
      <c r="J205" s="431">
        <v>6.26</v>
      </c>
      <c r="K205" s="431">
        <v>6.47</v>
      </c>
      <c r="L205" s="431">
        <v>6.24</v>
      </c>
      <c r="M205" s="431">
        <v>5.66</v>
      </c>
      <c r="N205" s="431">
        <v>5.18</v>
      </c>
      <c r="O205" s="431">
        <v>4.6399999999999997</v>
      </c>
      <c r="P205" s="431">
        <v>4.05</v>
      </c>
      <c r="Q205" s="179">
        <f t="shared" si="5"/>
        <v>5.6116666666666672</v>
      </c>
      <c r="R205" s="179" t="s">
        <v>958</v>
      </c>
    </row>
    <row r="206" spans="1:18" x14ac:dyDescent="0.15">
      <c r="A206" s="179" t="str">
        <f t="shared" si="4"/>
        <v>Cancun_Optimal Summer_225</v>
      </c>
      <c r="B206" s="501" t="s">
        <v>987</v>
      </c>
      <c r="C206" s="429">
        <v>6</v>
      </c>
      <c r="D206" s="429">
        <v>225</v>
      </c>
      <c r="E206" s="431">
        <v>4.21</v>
      </c>
      <c r="F206" s="431">
        <v>5.21</v>
      </c>
      <c r="G206" s="431">
        <v>5.88</v>
      </c>
      <c r="H206" s="431">
        <v>6.4</v>
      </c>
      <c r="I206" s="431">
        <v>6.4</v>
      </c>
      <c r="J206" s="431">
        <v>6.1</v>
      </c>
      <c r="K206" s="431">
        <v>6.31</v>
      </c>
      <c r="L206" s="431">
        <v>6.08</v>
      </c>
      <c r="M206" s="431">
        <v>5.51</v>
      </c>
      <c r="N206" s="431">
        <v>5.04</v>
      </c>
      <c r="O206" s="431">
        <v>4.5199999999999996</v>
      </c>
      <c r="P206" s="431">
        <v>3.94</v>
      </c>
      <c r="Q206" s="179">
        <f t="shared" si="5"/>
        <v>5.4666666666666659</v>
      </c>
      <c r="R206" s="179" t="s">
        <v>958</v>
      </c>
    </row>
    <row r="207" spans="1:18" x14ac:dyDescent="0.15">
      <c r="A207" s="179" t="str">
        <f t="shared" si="4"/>
        <v>Cancun_Optimal Summer_247.5</v>
      </c>
      <c r="B207" s="501" t="s">
        <v>987</v>
      </c>
      <c r="C207" s="429">
        <v>6</v>
      </c>
      <c r="D207" s="429">
        <v>247.5</v>
      </c>
      <c r="E207" s="431">
        <v>3.88</v>
      </c>
      <c r="F207" s="431">
        <v>4.8</v>
      </c>
      <c r="G207" s="431">
        <v>5.42</v>
      </c>
      <c r="H207" s="431">
        <v>5.9</v>
      </c>
      <c r="I207" s="431">
        <v>5.9</v>
      </c>
      <c r="J207" s="431">
        <v>5.62</v>
      </c>
      <c r="K207" s="431">
        <v>5.81</v>
      </c>
      <c r="L207" s="431">
        <v>5.6</v>
      </c>
      <c r="M207" s="431">
        <v>5.08</v>
      </c>
      <c r="N207" s="431">
        <v>4.6500000000000004</v>
      </c>
      <c r="O207" s="431">
        <v>4.16</v>
      </c>
      <c r="P207" s="431">
        <v>3.63</v>
      </c>
      <c r="Q207" s="179">
        <f t="shared" si="5"/>
        <v>5.0374999999999996</v>
      </c>
      <c r="R207" s="179" t="s">
        <v>958</v>
      </c>
    </row>
    <row r="208" spans="1:18" x14ac:dyDescent="0.15">
      <c r="A208" s="179" t="str">
        <f t="shared" si="4"/>
        <v>Cancun_Optimal Summer_270</v>
      </c>
      <c r="B208" s="501" t="s">
        <v>987</v>
      </c>
      <c r="C208" s="429">
        <v>6</v>
      </c>
      <c r="D208" s="429">
        <v>270</v>
      </c>
      <c r="E208" s="431">
        <v>3.54</v>
      </c>
      <c r="F208" s="431">
        <v>4.38</v>
      </c>
      <c r="G208" s="431">
        <v>4.95</v>
      </c>
      <c r="H208" s="431">
        <v>5.39</v>
      </c>
      <c r="I208" s="431">
        <v>5.39</v>
      </c>
      <c r="J208" s="431">
        <v>5.14</v>
      </c>
      <c r="K208" s="431">
        <v>5.31</v>
      </c>
      <c r="L208" s="431">
        <v>5.12</v>
      </c>
      <c r="M208" s="431">
        <v>4.6399999999999997</v>
      </c>
      <c r="N208" s="431">
        <v>4.25</v>
      </c>
      <c r="O208" s="431">
        <v>3.81</v>
      </c>
      <c r="P208" s="431">
        <v>3.32</v>
      </c>
      <c r="Q208" s="179">
        <f t="shared" si="5"/>
        <v>4.6033333333333335</v>
      </c>
      <c r="R208" s="179" t="s">
        <v>958</v>
      </c>
    </row>
    <row r="209" spans="1:18" x14ac:dyDescent="0.15">
      <c r="A209" s="179" t="str">
        <f t="shared" si="4"/>
        <v>Cancun_Optimal Year Round_90</v>
      </c>
      <c r="B209" s="501" t="s">
        <v>987</v>
      </c>
      <c r="C209" s="429">
        <v>21</v>
      </c>
      <c r="D209" s="429">
        <v>90</v>
      </c>
      <c r="E209" s="431">
        <v>4.0199999999999996</v>
      </c>
      <c r="F209" s="431">
        <v>4.8099999999999996</v>
      </c>
      <c r="G209" s="431">
        <v>5.14</v>
      </c>
      <c r="H209" s="431">
        <v>5.29</v>
      </c>
      <c r="I209" s="431">
        <v>5.04</v>
      </c>
      <c r="J209" s="431">
        <v>5.08</v>
      </c>
      <c r="K209" s="431">
        <v>4.91</v>
      </c>
      <c r="L209" s="431">
        <v>4.9400000000000004</v>
      </c>
      <c r="M209" s="431">
        <v>4.6900000000000004</v>
      </c>
      <c r="N209" s="431">
        <v>4.54</v>
      </c>
      <c r="O209" s="431">
        <v>4.3</v>
      </c>
      <c r="P209" s="431">
        <v>3.81</v>
      </c>
      <c r="Q209" s="179">
        <f t="shared" si="5"/>
        <v>4.7141666666666655</v>
      </c>
      <c r="R209" s="179" t="s">
        <v>993</v>
      </c>
    </row>
    <row r="210" spans="1:18" x14ac:dyDescent="0.15">
      <c r="A210" s="179" t="str">
        <f t="shared" si="4"/>
        <v>Cancun_Optimal Year Round_112.5</v>
      </c>
      <c r="B210" s="501" t="s">
        <v>987</v>
      </c>
      <c r="C210" s="429">
        <v>21</v>
      </c>
      <c r="D210" s="429">
        <v>112.5</v>
      </c>
      <c r="E210" s="431">
        <v>4.3899999999999997</v>
      </c>
      <c r="F210" s="431">
        <v>5.26</v>
      </c>
      <c r="G210" s="431">
        <v>5.62</v>
      </c>
      <c r="H210" s="431">
        <v>5.78</v>
      </c>
      <c r="I210" s="431">
        <v>5.51</v>
      </c>
      <c r="J210" s="431">
        <v>5.56</v>
      </c>
      <c r="K210" s="431">
        <v>5.37</v>
      </c>
      <c r="L210" s="431">
        <v>5.4</v>
      </c>
      <c r="M210" s="431">
        <v>5.13</v>
      </c>
      <c r="N210" s="431">
        <v>4.97</v>
      </c>
      <c r="O210" s="431">
        <v>4.71</v>
      </c>
      <c r="P210" s="431">
        <v>4.16</v>
      </c>
      <c r="Q210" s="179">
        <f t="shared" si="5"/>
        <v>5.1550000000000002</v>
      </c>
      <c r="R210" s="179" t="s">
        <v>993</v>
      </c>
    </row>
    <row r="211" spans="1:18" x14ac:dyDescent="0.15">
      <c r="A211" s="179" t="str">
        <f t="shared" si="4"/>
        <v>Cancun_Optimal Year Round_135</v>
      </c>
      <c r="B211" s="501" t="s">
        <v>987</v>
      </c>
      <c r="C211" s="429">
        <v>21</v>
      </c>
      <c r="D211" s="429">
        <v>135</v>
      </c>
      <c r="E211" s="431">
        <v>4.7699999999999996</v>
      </c>
      <c r="F211" s="431">
        <v>5.71</v>
      </c>
      <c r="G211" s="431">
        <v>6.1</v>
      </c>
      <c r="H211" s="431">
        <v>6.28</v>
      </c>
      <c r="I211" s="431">
        <v>5.98</v>
      </c>
      <c r="J211" s="431">
        <v>6.03</v>
      </c>
      <c r="K211" s="431">
        <v>5.83</v>
      </c>
      <c r="L211" s="431">
        <v>5.86</v>
      </c>
      <c r="M211" s="431">
        <v>5.57</v>
      </c>
      <c r="N211" s="431">
        <v>5.4</v>
      </c>
      <c r="O211" s="431">
        <v>5.1100000000000003</v>
      </c>
      <c r="P211" s="431">
        <v>4.5199999999999996</v>
      </c>
      <c r="Q211" s="179">
        <f t="shared" si="5"/>
        <v>5.5966666666666667</v>
      </c>
      <c r="R211" s="179" t="s">
        <v>993</v>
      </c>
    </row>
    <row r="212" spans="1:18" x14ac:dyDescent="0.15">
      <c r="A212" s="179" t="str">
        <f t="shared" si="4"/>
        <v>Cancun_Optimal Year Round_157.5</v>
      </c>
      <c r="B212" s="501" t="s">
        <v>987</v>
      </c>
      <c r="C212" s="429">
        <v>21</v>
      </c>
      <c r="D212" s="429">
        <v>157.5</v>
      </c>
      <c r="E212" s="431">
        <v>4.8899999999999997</v>
      </c>
      <c r="F212" s="431">
        <v>5.86</v>
      </c>
      <c r="G212" s="431">
        <v>6.26</v>
      </c>
      <c r="H212" s="431">
        <v>6.44</v>
      </c>
      <c r="I212" s="431">
        <v>6.14</v>
      </c>
      <c r="J212" s="431">
        <v>6.19</v>
      </c>
      <c r="K212" s="431">
        <v>5.99</v>
      </c>
      <c r="L212" s="431">
        <v>6.02</v>
      </c>
      <c r="M212" s="431">
        <v>5.71</v>
      </c>
      <c r="N212" s="431">
        <v>5.54</v>
      </c>
      <c r="O212" s="431">
        <v>5.25</v>
      </c>
      <c r="P212" s="431">
        <v>4.6399999999999997</v>
      </c>
      <c r="Q212" s="179">
        <f t="shared" si="5"/>
        <v>5.7441666666666675</v>
      </c>
      <c r="R212" s="179" t="s">
        <v>993</v>
      </c>
    </row>
    <row r="213" spans="1:18" x14ac:dyDescent="0.15">
      <c r="A213" s="179" t="str">
        <f t="shared" si="4"/>
        <v>Cancun_Optimal Year Round_180</v>
      </c>
      <c r="B213" s="501" t="s">
        <v>987</v>
      </c>
      <c r="C213" s="429">
        <v>21</v>
      </c>
      <c r="D213" s="429">
        <v>180</v>
      </c>
      <c r="E213" s="431">
        <v>5.0199999999999996</v>
      </c>
      <c r="F213" s="431">
        <v>6.01</v>
      </c>
      <c r="G213" s="431">
        <v>6.42</v>
      </c>
      <c r="H213" s="431">
        <v>6.61</v>
      </c>
      <c r="I213" s="431">
        <v>6.3</v>
      </c>
      <c r="J213" s="431">
        <v>6.35</v>
      </c>
      <c r="K213" s="431">
        <v>6.14</v>
      </c>
      <c r="L213" s="431">
        <v>6.17</v>
      </c>
      <c r="M213" s="431">
        <v>5.86</v>
      </c>
      <c r="N213" s="431">
        <v>5.68</v>
      </c>
      <c r="O213" s="431">
        <v>5.38</v>
      </c>
      <c r="P213" s="431">
        <v>4.76</v>
      </c>
      <c r="Q213" s="179">
        <f t="shared" si="5"/>
        <v>5.8916666666666666</v>
      </c>
      <c r="R213" s="179" t="s">
        <v>993</v>
      </c>
    </row>
    <row r="214" spans="1:18" x14ac:dyDescent="0.15">
      <c r="A214" s="179" t="str">
        <f t="shared" si="4"/>
        <v>Cancun_Optimal Year Round_202.5</v>
      </c>
      <c r="B214" s="501" t="s">
        <v>987</v>
      </c>
      <c r="C214" s="429">
        <v>21</v>
      </c>
      <c r="D214" s="429">
        <v>202.5</v>
      </c>
      <c r="E214" s="431">
        <v>4.8899999999999997</v>
      </c>
      <c r="F214" s="431">
        <v>5.86</v>
      </c>
      <c r="G214" s="431">
        <v>6.26</v>
      </c>
      <c r="H214" s="431">
        <v>6.44</v>
      </c>
      <c r="I214" s="431">
        <v>6.14</v>
      </c>
      <c r="J214" s="431">
        <v>6.19</v>
      </c>
      <c r="K214" s="431">
        <v>5.99</v>
      </c>
      <c r="L214" s="431">
        <v>6.02</v>
      </c>
      <c r="M214" s="431">
        <v>5.71</v>
      </c>
      <c r="N214" s="431">
        <v>5.54</v>
      </c>
      <c r="O214" s="431">
        <v>5.25</v>
      </c>
      <c r="P214" s="431">
        <v>4.6399999999999997</v>
      </c>
      <c r="Q214" s="179">
        <f t="shared" si="5"/>
        <v>5.7441666666666675</v>
      </c>
      <c r="R214" s="179" t="s">
        <v>993</v>
      </c>
    </row>
    <row r="215" spans="1:18" x14ac:dyDescent="0.15">
      <c r="A215" s="179" t="str">
        <f t="shared" si="4"/>
        <v>Cancun_Optimal Year Round_225</v>
      </c>
      <c r="B215" s="501" t="s">
        <v>987</v>
      </c>
      <c r="C215" s="429">
        <v>21</v>
      </c>
      <c r="D215" s="429">
        <v>225</v>
      </c>
      <c r="E215" s="431">
        <v>4.7699999999999996</v>
      </c>
      <c r="F215" s="431">
        <v>5.71</v>
      </c>
      <c r="G215" s="431">
        <v>6.1</v>
      </c>
      <c r="H215" s="431">
        <v>6.28</v>
      </c>
      <c r="I215" s="431">
        <v>5.98</v>
      </c>
      <c r="J215" s="431">
        <v>6.03</v>
      </c>
      <c r="K215" s="431">
        <v>5.83</v>
      </c>
      <c r="L215" s="431">
        <v>5.86</v>
      </c>
      <c r="M215" s="431">
        <v>5.57</v>
      </c>
      <c r="N215" s="431">
        <v>5.4</v>
      </c>
      <c r="O215" s="431">
        <v>5.1100000000000003</v>
      </c>
      <c r="P215" s="431">
        <v>4.5199999999999996</v>
      </c>
      <c r="Q215" s="179">
        <f t="shared" si="5"/>
        <v>5.5966666666666667</v>
      </c>
      <c r="R215" s="179" t="s">
        <v>993</v>
      </c>
    </row>
    <row r="216" spans="1:18" x14ac:dyDescent="0.15">
      <c r="A216" s="179" t="str">
        <f t="shared" si="4"/>
        <v>Cancun_Optimal Year Round_247.5</v>
      </c>
      <c r="B216" s="501" t="s">
        <v>987</v>
      </c>
      <c r="C216" s="429">
        <v>21</v>
      </c>
      <c r="D216" s="429">
        <v>247.5</v>
      </c>
      <c r="E216" s="431">
        <v>4.3899999999999997</v>
      </c>
      <c r="F216" s="431">
        <v>5.26</v>
      </c>
      <c r="G216" s="431">
        <v>5.62</v>
      </c>
      <c r="H216" s="431">
        <v>5.78</v>
      </c>
      <c r="I216" s="431">
        <v>5.51</v>
      </c>
      <c r="J216" s="431">
        <v>5.56</v>
      </c>
      <c r="K216" s="431">
        <v>5.37</v>
      </c>
      <c r="L216" s="431">
        <v>5.4</v>
      </c>
      <c r="M216" s="431">
        <v>5.13</v>
      </c>
      <c r="N216" s="431">
        <v>4.97</v>
      </c>
      <c r="O216" s="431">
        <v>4.71</v>
      </c>
      <c r="P216" s="431">
        <v>4.16</v>
      </c>
      <c r="Q216" s="179">
        <f t="shared" si="5"/>
        <v>5.1550000000000002</v>
      </c>
      <c r="R216" s="179" t="s">
        <v>993</v>
      </c>
    </row>
    <row r="217" spans="1:18" x14ac:dyDescent="0.15">
      <c r="A217" s="179" t="str">
        <f t="shared" si="4"/>
        <v>Cancun_Optimal Year Round_270</v>
      </c>
      <c r="B217" s="501" t="s">
        <v>987</v>
      </c>
      <c r="C217" s="429">
        <v>21</v>
      </c>
      <c r="D217" s="429">
        <v>270</v>
      </c>
      <c r="E217" s="431">
        <v>4.0199999999999996</v>
      </c>
      <c r="F217" s="431">
        <v>4.8099999999999996</v>
      </c>
      <c r="G217" s="431">
        <v>5.14</v>
      </c>
      <c r="H217" s="431">
        <v>5.29</v>
      </c>
      <c r="I217" s="431">
        <v>5.04</v>
      </c>
      <c r="J217" s="431">
        <v>5.08</v>
      </c>
      <c r="K217" s="431">
        <v>4.91</v>
      </c>
      <c r="L217" s="431">
        <v>4.9400000000000004</v>
      </c>
      <c r="M217" s="431">
        <v>4.6900000000000004</v>
      </c>
      <c r="N217" s="431">
        <v>4.54</v>
      </c>
      <c r="O217" s="431">
        <v>4.3</v>
      </c>
      <c r="P217" s="431">
        <v>3.81</v>
      </c>
      <c r="Q217" s="179">
        <f t="shared" si="5"/>
        <v>4.7141666666666655</v>
      </c>
      <c r="R217" s="179" t="s">
        <v>993</v>
      </c>
    </row>
    <row r="218" spans="1:18" x14ac:dyDescent="0.15">
      <c r="A218" s="179" t="str">
        <f t="shared" si="4"/>
        <v>CDMX_Flat Surface_90</v>
      </c>
      <c r="B218" s="501" t="s">
        <v>630</v>
      </c>
      <c r="C218" s="429">
        <v>0</v>
      </c>
      <c r="D218" s="429">
        <v>90</v>
      </c>
      <c r="E218" s="431">
        <v>4.74</v>
      </c>
      <c r="F218" s="431">
        <v>5.68</v>
      </c>
      <c r="G218" s="431">
        <v>6.47</v>
      </c>
      <c r="H218" s="431">
        <v>6.38</v>
      </c>
      <c r="I218" s="431">
        <v>6.21</v>
      </c>
      <c r="J218" s="431">
        <v>5.57</v>
      </c>
      <c r="K218" s="431">
        <v>5.48</v>
      </c>
      <c r="L218" s="431">
        <v>5.31</v>
      </c>
      <c r="M218" s="431">
        <v>4.88</v>
      </c>
      <c r="N218" s="431">
        <v>4.87</v>
      </c>
      <c r="O218" s="431">
        <v>4.7699999999999996</v>
      </c>
      <c r="P218" s="431">
        <v>4.34</v>
      </c>
      <c r="Q218" s="179">
        <f t="shared" si="5"/>
        <v>5.3916666666666666</v>
      </c>
      <c r="R218" s="179" t="s">
        <v>994</v>
      </c>
    </row>
    <row r="219" spans="1:18" x14ac:dyDescent="0.15">
      <c r="A219" s="179" t="str">
        <f t="shared" si="4"/>
        <v>CDMX_Flat Surface_112.5</v>
      </c>
      <c r="B219" s="501" t="s">
        <v>630</v>
      </c>
      <c r="C219" s="429">
        <v>0</v>
      </c>
      <c r="D219" s="429">
        <v>112.5</v>
      </c>
      <c r="E219" s="431">
        <v>4.74</v>
      </c>
      <c r="F219" s="431">
        <v>5.68</v>
      </c>
      <c r="G219" s="431">
        <v>6.47</v>
      </c>
      <c r="H219" s="431">
        <v>6.38</v>
      </c>
      <c r="I219" s="431">
        <v>6.21</v>
      </c>
      <c r="J219" s="431">
        <v>5.57</v>
      </c>
      <c r="K219" s="431">
        <v>5.48</v>
      </c>
      <c r="L219" s="431">
        <v>5.31</v>
      </c>
      <c r="M219" s="431">
        <v>4.88</v>
      </c>
      <c r="N219" s="431">
        <v>4.87</v>
      </c>
      <c r="O219" s="431">
        <v>4.7699999999999996</v>
      </c>
      <c r="P219" s="431">
        <v>4.34</v>
      </c>
      <c r="Q219" s="179">
        <f t="shared" si="5"/>
        <v>5.3916666666666666</v>
      </c>
      <c r="R219" s="179" t="s">
        <v>994</v>
      </c>
    </row>
    <row r="220" spans="1:18" x14ac:dyDescent="0.15">
      <c r="A220" s="179" t="str">
        <f t="shared" si="4"/>
        <v>CDMX_Flat Surface_135</v>
      </c>
      <c r="B220" s="501" t="s">
        <v>630</v>
      </c>
      <c r="C220" s="429">
        <v>0</v>
      </c>
      <c r="D220" s="429">
        <v>135</v>
      </c>
      <c r="E220" s="431">
        <v>4.74</v>
      </c>
      <c r="F220" s="431">
        <v>5.68</v>
      </c>
      <c r="G220" s="431">
        <v>6.47</v>
      </c>
      <c r="H220" s="431">
        <v>6.38</v>
      </c>
      <c r="I220" s="431">
        <v>6.21</v>
      </c>
      <c r="J220" s="431">
        <v>5.57</v>
      </c>
      <c r="K220" s="431">
        <v>5.48</v>
      </c>
      <c r="L220" s="431">
        <v>5.31</v>
      </c>
      <c r="M220" s="431">
        <v>4.88</v>
      </c>
      <c r="N220" s="431">
        <v>4.87</v>
      </c>
      <c r="O220" s="431">
        <v>4.7699999999999996</v>
      </c>
      <c r="P220" s="431">
        <v>4.34</v>
      </c>
      <c r="Q220" s="179">
        <f t="shared" si="5"/>
        <v>5.3916666666666666</v>
      </c>
      <c r="R220" s="179" t="s">
        <v>994</v>
      </c>
    </row>
    <row r="221" spans="1:18" x14ac:dyDescent="0.15">
      <c r="A221" s="179" t="str">
        <f t="shared" si="4"/>
        <v>CDMX_Flat Surface_157.5</v>
      </c>
      <c r="B221" s="501" t="s">
        <v>630</v>
      </c>
      <c r="C221" s="429">
        <v>0</v>
      </c>
      <c r="D221" s="429">
        <v>157.5</v>
      </c>
      <c r="E221" s="431">
        <v>4.74</v>
      </c>
      <c r="F221" s="431">
        <v>5.68</v>
      </c>
      <c r="G221" s="431">
        <v>6.47</v>
      </c>
      <c r="H221" s="431">
        <v>6.38</v>
      </c>
      <c r="I221" s="431">
        <v>6.21</v>
      </c>
      <c r="J221" s="431">
        <v>5.57</v>
      </c>
      <c r="K221" s="431">
        <v>5.48</v>
      </c>
      <c r="L221" s="431">
        <v>5.31</v>
      </c>
      <c r="M221" s="431">
        <v>4.88</v>
      </c>
      <c r="N221" s="431">
        <v>4.87</v>
      </c>
      <c r="O221" s="431">
        <v>4.7699999999999996</v>
      </c>
      <c r="P221" s="431">
        <v>4.34</v>
      </c>
      <c r="Q221" s="179">
        <f t="shared" si="5"/>
        <v>5.3916666666666666</v>
      </c>
      <c r="R221" s="179" t="s">
        <v>994</v>
      </c>
    </row>
    <row r="222" spans="1:18" x14ac:dyDescent="0.15">
      <c r="A222" s="179" t="str">
        <f t="shared" si="4"/>
        <v>CDMX_Flat Surface_180</v>
      </c>
      <c r="B222" s="501" t="s">
        <v>630</v>
      </c>
      <c r="C222" s="429">
        <v>0</v>
      </c>
      <c r="D222" s="429">
        <v>180</v>
      </c>
      <c r="E222" s="431">
        <v>4.74</v>
      </c>
      <c r="F222" s="431">
        <v>5.68</v>
      </c>
      <c r="G222" s="431">
        <v>6.47</v>
      </c>
      <c r="H222" s="431">
        <v>6.38</v>
      </c>
      <c r="I222" s="431">
        <v>6.21</v>
      </c>
      <c r="J222" s="431">
        <v>5.57</v>
      </c>
      <c r="K222" s="431">
        <v>5.48</v>
      </c>
      <c r="L222" s="431">
        <v>5.31</v>
      </c>
      <c r="M222" s="431">
        <v>4.88</v>
      </c>
      <c r="N222" s="431">
        <v>4.87</v>
      </c>
      <c r="O222" s="431">
        <v>4.7699999999999996</v>
      </c>
      <c r="P222" s="431">
        <v>4.34</v>
      </c>
      <c r="Q222" s="179">
        <f t="shared" si="5"/>
        <v>5.3916666666666666</v>
      </c>
      <c r="R222" s="179" t="s">
        <v>994</v>
      </c>
    </row>
    <row r="223" spans="1:18" x14ac:dyDescent="0.15">
      <c r="A223" s="179" t="str">
        <f t="shared" si="4"/>
        <v>CDMX_Flat Surface_202.5</v>
      </c>
      <c r="B223" s="501" t="s">
        <v>630</v>
      </c>
      <c r="C223" s="429">
        <v>0</v>
      </c>
      <c r="D223" s="429">
        <v>202.5</v>
      </c>
      <c r="E223" s="431">
        <v>4.74</v>
      </c>
      <c r="F223" s="431">
        <v>5.68</v>
      </c>
      <c r="G223" s="431">
        <v>6.47</v>
      </c>
      <c r="H223" s="431">
        <v>6.38</v>
      </c>
      <c r="I223" s="431">
        <v>6.21</v>
      </c>
      <c r="J223" s="431">
        <v>5.57</v>
      </c>
      <c r="K223" s="431">
        <v>5.48</v>
      </c>
      <c r="L223" s="431">
        <v>5.31</v>
      </c>
      <c r="M223" s="431">
        <v>4.88</v>
      </c>
      <c r="N223" s="431">
        <v>4.87</v>
      </c>
      <c r="O223" s="431">
        <v>4.7699999999999996</v>
      </c>
      <c r="P223" s="431">
        <v>4.34</v>
      </c>
      <c r="Q223" s="179">
        <f t="shared" si="5"/>
        <v>5.3916666666666666</v>
      </c>
      <c r="R223" s="179" t="s">
        <v>994</v>
      </c>
    </row>
    <row r="224" spans="1:18" x14ac:dyDescent="0.15">
      <c r="A224" s="179" t="str">
        <f t="shared" si="4"/>
        <v>CDMX_Flat Surface_225</v>
      </c>
      <c r="B224" s="501" t="s">
        <v>630</v>
      </c>
      <c r="C224" s="429">
        <v>0</v>
      </c>
      <c r="D224" s="429">
        <v>225</v>
      </c>
      <c r="E224" s="431">
        <v>4.74</v>
      </c>
      <c r="F224" s="431">
        <v>5.68</v>
      </c>
      <c r="G224" s="431">
        <v>6.47</v>
      </c>
      <c r="H224" s="431">
        <v>6.38</v>
      </c>
      <c r="I224" s="431">
        <v>6.21</v>
      </c>
      <c r="J224" s="431">
        <v>5.57</v>
      </c>
      <c r="K224" s="431">
        <v>5.48</v>
      </c>
      <c r="L224" s="431">
        <v>5.31</v>
      </c>
      <c r="M224" s="431">
        <v>4.88</v>
      </c>
      <c r="N224" s="431">
        <v>4.87</v>
      </c>
      <c r="O224" s="431">
        <v>4.7699999999999996</v>
      </c>
      <c r="P224" s="431">
        <v>4.34</v>
      </c>
      <c r="Q224" s="179">
        <f t="shared" si="5"/>
        <v>5.3916666666666666</v>
      </c>
      <c r="R224" s="179" t="s">
        <v>994</v>
      </c>
    </row>
    <row r="225" spans="1:18" x14ac:dyDescent="0.15">
      <c r="A225" s="179" t="str">
        <f t="shared" si="4"/>
        <v>CDMX_Flat Surface_247.5</v>
      </c>
      <c r="B225" s="501" t="s">
        <v>630</v>
      </c>
      <c r="C225" s="429">
        <v>0</v>
      </c>
      <c r="D225" s="429">
        <v>247.5</v>
      </c>
      <c r="E225" s="431">
        <v>4.74</v>
      </c>
      <c r="F225" s="431">
        <v>5.68</v>
      </c>
      <c r="G225" s="431">
        <v>6.47</v>
      </c>
      <c r="H225" s="431">
        <v>6.38</v>
      </c>
      <c r="I225" s="431">
        <v>6.21</v>
      </c>
      <c r="J225" s="431">
        <v>5.57</v>
      </c>
      <c r="K225" s="431">
        <v>5.48</v>
      </c>
      <c r="L225" s="431">
        <v>5.31</v>
      </c>
      <c r="M225" s="431">
        <v>4.88</v>
      </c>
      <c r="N225" s="431">
        <v>4.87</v>
      </c>
      <c r="O225" s="431">
        <v>4.7699999999999996</v>
      </c>
      <c r="P225" s="431">
        <v>4.34</v>
      </c>
      <c r="Q225" s="179">
        <f t="shared" si="5"/>
        <v>5.3916666666666666</v>
      </c>
      <c r="R225" s="179" t="s">
        <v>994</v>
      </c>
    </row>
    <row r="226" spans="1:18" x14ac:dyDescent="0.15">
      <c r="A226" s="179" t="str">
        <f t="shared" si="4"/>
        <v>CDMX_Flat Surface_270</v>
      </c>
      <c r="B226" s="501" t="s">
        <v>630</v>
      </c>
      <c r="C226" s="429">
        <v>0</v>
      </c>
      <c r="D226" s="429">
        <v>270</v>
      </c>
      <c r="E226" s="431">
        <v>4.74</v>
      </c>
      <c r="F226" s="431">
        <v>5.68</v>
      </c>
      <c r="G226" s="431">
        <v>6.47</v>
      </c>
      <c r="H226" s="431">
        <v>6.38</v>
      </c>
      <c r="I226" s="431">
        <v>6.21</v>
      </c>
      <c r="J226" s="431">
        <v>5.57</v>
      </c>
      <c r="K226" s="431">
        <v>5.48</v>
      </c>
      <c r="L226" s="431">
        <v>5.31</v>
      </c>
      <c r="M226" s="431">
        <v>4.88</v>
      </c>
      <c r="N226" s="431">
        <v>4.87</v>
      </c>
      <c r="O226" s="431">
        <v>4.7699999999999996</v>
      </c>
      <c r="P226" s="431">
        <v>4.34</v>
      </c>
      <c r="Q226" s="179">
        <f t="shared" si="5"/>
        <v>5.3916666666666666</v>
      </c>
      <c r="R226" s="179" t="s">
        <v>994</v>
      </c>
    </row>
    <row r="227" spans="1:18" x14ac:dyDescent="0.15">
      <c r="A227" s="179" t="str">
        <f t="shared" si="4"/>
        <v>CDMX_Optimal Summer_90</v>
      </c>
      <c r="B227" s="501" t="s">
        <v>630</v>
      </c>
      <c r="C227" s="429">
        <v>4</v>
      </c>
      <c r="D227" s="429">
        <v>90</v>
      </c>
      <c r="E227" s="431">
        <v>4</v>
      </c>
      <c r="F227" s="431">
        <v>4.72</v>
      </c>
      <c r="G227" s="431">
        <v>5.29</v>
      </c>
      <c r="H227" s="431">
        <v>5.13</v>
      </c>
      <c r="I227" s="431">
        <v>4.93</v>
      </c>
      <c r="J227" s="431">
        <v>4.49</v>
      </c>
      <c r="K227" s="431">
        <v>4.41</v>
      </c>
      <c r="L227" s="431">
        <v>4.25</v>
      </c>
      <c r="M227" s="431">
        <v>3.94</v>
      </c>
      <c r="N227" s="431">
        <v>4</v>
      </c>
      <c r="O227" s="431">
        <v>4</v>
      </c>
      <c r="P227" s="431">
        <v>3.66</v>
      </c>
      <c r="Q227" s="179">
        <f t="shared" si="5"/>
        <v>4.4016666666666664</v>
      </c>
      <c r="R227" s="179" t="s">
        <v>958</v>
      </c>
    </row>
    <row r="228" spans="1:18" x14ac:dyDescent="0.15">
      <c r="A228" s="179" t="str">
        <f t="shared" si="4"/>
        <v>CDMX_Optimal Summer_112.5</v>
      </c>
      <c r="B228" s="501" t="s">
        <v>630</v>
      </c>
      <c r="C228" s="429">
        <v>4</v>
      </c>
      <c r="D228" s="429">
        <v>112.5</v>
      </c>
      <c r="E228" s="431">
        <v>4.38</v>
      </c>
      <c r="F228" s="431">
        <v>5.16</v>
      </c>
      <c r="G228" s="431">
        <v>5.78</v>
      </c>
      <c r="H228" s="431">
        <v>5.61</v>
      </c>
      <c r="I228" s="431">
        <v>5.39</v>
      </c>
      <c r="J228" s="431">
        <v>4.91</v>
      </c>
      <c r="K228" s="431">
        <v>4.82</v>
      </c>
      <c r="L228" s="431">
        <v>4.6500000000000004</v>
      </c>
      <c r="M228" s="431">
        <v>4.3099999999999996</v>
      </c>
      <c r="N228" s="431">
        <v>4.38</v>
      </c>
      <c r="O228" s="431">
        <v>4.38</v>
      </c>
      <c r="P228" s="431">
        <v>4</v>
      </c>
      <c r="Q228" s="179">
        <f t="shared" si="5"/>
        <v>4.8141666666666669</v>
      </c>
      <c r="R228" s="179" t="s">
        <v>958</v>
      </c>
    </row>
    <row r="229" spans="1:18" x14ac:dyDescent="0.15">
      <c r="A229" s="179" t="str">
        <f t="shared" si="4"/>
        <v>CDMX_Optimal Summer_135</v>
      </c>
      <c r="B229" s="501" t="s">
        <v>630</v>
      </c>
      <c r="C229" s="429">
        <v>4</v>
      </c>
      <c r="D229" s="429">
        <v>135</v>
      </c>
      <c r="E229" s="431">
        <v>4.75</v>
      </c>
      <c r="F229" s="431">
        <v>5.6</v>
      </c>
      <c r="G229" s="431">
        <v>6.28</v>
      </c>
      <c r="H229" s="431">
        <v>6.09</v>
      </c>
      <c r="I229" s="431">
        <v>5.85</v>
      </c>
      <c r="J229" s="431">
        <v>5.33</v>
      </c>
      <c r="K229" s="431">
        <v>5.23</v>
      </c>
      <c r="L229" s="431">
        <v>5.04</v>
      </c>
      <c r="M229" s="431">
        <v>4.68</v>
      </c>
      <c r="N229" s="431">
        <v>4.75</v>
      </c>
      <c r="O229" s="431">
        <v>4.75</v>
      </c>
      <c r="P229" s="431">
        <v>4.34</v>
      </c>
      <c r="Q229" s="179">
        <f t="shared" si="5"/>
        <v>5.2241666666666662</v>
      </c>
      <c r="R229" s="179" t="s">
        <v>958</v>
      </c>
    </row>
    <row r="230" spans="1:18" x14ac:dyDescent="0.15">
      <c r="A230" s="179" t="str">
        <f t="shared" si="4"/>
        <v>CDMX_Optimal Summer_157.5</v>
      </c>
      <c r="B230" s="501" t="s">
        <v>630</v>
      </c>
      <c r="C230" s="429">
        <v>4</v>
      </c>
      <c r="D230" s="429">
        <v>157.5</v>
      </c>
      <c r="E230" s="431">
        <v>4.88</v>
      </c>
      <c r="F230" s="431">
        <v>5.75</v>
      </c>
      <c r="G230" s="431">
        <v>6.44</v>
      </c>
      <c r="H230" s="431">
        <v>6.25</v>
      </c>
      <c r="I230" s="431">
        <v>6.01</v>
      </c>
      <c r="J230" s="431">
        <v>5.47</v>
      </c>
      <c r="K230" s="431">
        <v>5.37</v>
      </c>
      <c r="L230" s="431">
        <v>5.18</v>
      </c>
      <c r="M230" s="431">
        <v>4.8099999999999996</v>
      </c>
      <c r="N230" s="431">
        <v>4.88</v>
      </c>
      <c r="O230" s="431">
        <v>4.88</v>
      </c>
      <c r="P230" s="431">
        <v>4.46</v>
      </c>
      <c r="Q230" s="179">
        <f t="shared" si="5"/>
        <v>5.3649999999999993</v>
      </c>
      <c r="R230" s="179" t="s">
        <v>958</v>
      </c>
    </row>
    <row r="231" spans="1:18" x14ac:dyDescent="0.15">
      <c r="A231" s="179" t="str">
        <f t="shared" si="4"/>
        <v>CDMX_Optimal Summer_180</v>
      </c>
      <c r="B231" s="501" t="s">
        <v>630</v>
      </c>
      <c r="C231" s="429">
        <v>4</v>
      </c>
      <c r="D231" s="429">
        <v>180</v>
      </c>
      <c r="E231" s="431">
        <v>5</v>
      </c>
      <c r="F231" s="431">
        <v>5.9</v>
      </c>
      <c r="G231" s="431">
        <v>6.61</v>
      </c>
      <c r="H231" s="431">
        <v>6.41</v>
      </c>
      <c r="I231" s="431">
        <v>6.16</v>
      </c>
      <c r="J231" s="431">
        <v>5.61</v>
      </c>
      <c r="K231" s="431">
        <v>5.51</v>
      </c>
      <c r="L231" s="431">
        <v>5.31</v>
      </c>
      <c r="M231" s="431">
        <v>4.93</v>
      </c>
      <c r="N231" s="431">
        <v>5</v>
      </c>
      <c r="O231" s="431">
        <v>5</v>
      </c>
      <c r="P231" s="431">
        <v>4.57</v>
      </c>
      <c r="Q231" s="179">
        <f t="shared" si="5"/>
        <v>5.5008333333333335</v>
      </c>
      <c r="R231" s="179" t="s">
        <v>958</v>
      </c>
    </row>
    <row r="232" spans="1:18" x14ac:dyDescent="0.15">
      <c r="A232" s="179" t="str">
        <f t="shared" si="4"/>
        <v>CDMX_Optimal Summer_202.5</v>
      </c>
      <c r="B232" s="501" t="s">
        <v>630</v>
      </c>
      <c r="C232" s="429">
        <v>4</v>
      </c>
      <c r="D232" s="429">
        <v>202.5</v>
      </c>
      <c r="E232" s="431">
        <v>4.88</v>
      </c>
      <c r="F232" s="431">
        <v>5.75</v>
      </c>
      <c r="G232" s="431">
        <v>6.44</v>
      </c>
      <c r="H232" s="431">
        <v>6.25</v>
      </c>
      <c r="I232" s="431">
        <v>6.01</v>
      </c>
      <c r="J232" s="431">
        <v>5.47</v>
      </c>
      <c r="K232" s="431">
        <v>5.37</v>
      </c>
      <c r="L232" s="431">
        <v>5.18</v>
      </c>
      <c r="M232" s="431">
        <v>4.8099999999999996</v>
      </c>
      <c r="N232" s="431">
        <v>4.88</v>
      </c>
      <c r="O232" s="431">
        <v>4.88</v>
      </c>
      <c r="P232" s="431">
        <v>4.46</v>
      </c>
      <c r="Q232" s="179">
        <f t="shared" si="5"/>
        <v>5.3649999999999993</v>
      </c>
      <c r="R232" s="179" t="s">
        <v>958</v>
      </c>
    </row>
    <row r="233" spans="1:18" x14ac:dyDescent="0.15">
      <c r="A233" s="179" t="str">
        <f t="shared" si="4"/>
        <v>CDMX_Optimal Summer_225</v>
      </c>
      <c r="B233" s="501" t="s">
        <v>630</v>
      </c>
      <c r="C233" s="429">
        <v>4</v>
      </c>
      <c r="D233" s="429">
        <v>225</v>
      </c>
      <c r="E233" s="431">
        <v>4.75</v>
      </c>
      <c r="F233" s="431">
        <v>5.6</v>
      </c>
      <c r="G233" s="431">
        <v>6.28</v>
      </c>
      <c r="H233" s="431">
        <v>6.09</v>
      </c>
      <c r="I233" s="431">
        <v>5.85</v>
      </c>
      <c r="J233" s="431">
        <v>5.33</v>
      </c>
      <c r="K233" s="431">
        <v>5.23</v>
      </c>
      <c r="L233" s="431">
        <v>5.04</v>
      </c>
      <c r="M233" s="431">
        <v>4.68</v>
      </c>
      <c r="N233" s="431">
        <v>4.75</v>
      </c>
      <c r="O233" s="431">
        <v>4.75</v>
      </c>
      <c r="P233" s="431">
        <v>4.34</v>
      </c>
      <c r="Q233" s="179">
        <f t="shared" si="5"/>
        <v>5.2241666666666662</v>
      </c>
      <c r="R233" s="179" t="s">
        <v>958</v>
      </c>
    </row>
    <row r="234" spans="1:18" x14ac:dyDescent="0.15">
      <c r="A234" s="179" t="str">
        <f t="shared" si="4"/>
        <v>CDMX_Optimal Summer_247.5</v>
      </c>
      <c r="B234" s="501" t="s">
        <v>630</v>
      </c>
      <c r="C234" s="429">
        <v>4</v>
      </c>
      <c r="D234" s="429">
        <v>247.5</v>
      </c>
      <c r="E234" s="431">
        <v>4.38</v>
      </c>
      <c r="F234" s="431">
        <v>5.16</v>
      </c>
      <c r="G234" s="431">
        <v>5.78</v>
      </c>
      <c r="H234" s="431">
        <v>5.61</v>
      </c>
      <c r="I234" s="431">
        <v>5.39</v>
      </c>
      <c r="J234" s="431">
        <v>4.91</v>
      </c>
      <c r="K234" s="431">
        <v>4.82</v>
      </c>
      <c r="L234" s="431">
        <v>4.6500000000000004</v>
      </c>
      <c r="M234" s="431">
        <v>4.3099999999999996</v>
      </c>
      <c r="N234" s="431">
        <v>4.38</v>
      </c>
      <c r="O234" s="431">
        <v>4.38</v>
      </c>
      <c r="P234" s="431">
        <v>4</v>
      </c>
      <c r="Q234" s="179">
        <f t="shared" si="5"/>
        <v>4.8141666666666669</v>
      </c>
      <c r="R234" s="179" t="s">
        <v>958</v>
      </c>
    </row>
    <row r="235" spans="1:18" x14ac:dyDescent="0.15">
      <c r="A235" s="179" t="str">
        <f t="shared" si="4"/>
        <v>CDMX_Optimal Summer_270</v>
      </c>
      <c r="B235" s="501" t="s">
        <v>630</v>
      </c>
      <c r="C235" s="429">
        <v>4</v>
      </c>
      <c r="D235" s="429">
        <v>270</v>
      </c>
      <c r="E235" s="431">
        <v>4</v>
      </c>
      <c r="F235" s="431">
        <v>4.72</v>
      </c>
      <c r="G235" s="431">
        <v>5.29</v>
      </c>
      <c r="H235" s="431">
        <v>5.13</v>
      </c>
      <c r="I235" s="431">
        <v>4.93</v>
      </c>
      <c r="J235" s="431">
        <v>4.49</v>
      </c>
      <c r="K235" s="431">
        <v>4.41</v>
      </c>
      <c r="L235" s="431">
        <v>4.25</v>
      </c>
      <c r="M235" s="431">
        <v>3.94</v>
      </c>
      <c r="N235" s="431">
        <v>4</v>
      </c>
      <c r="O235" s="431">
        <v>4</v>
      </c>
      <c r="P235" s="431">
        <v>3.66</v>
      </c>
      <c r="Q235" s="179">
        <f t="shared" si="5"/>
        <v>4.4016666666666664</v>
      </c>
      <c r="R235" s="179" t="s">
        <v>958</v>
      </c>
    </row>
    <row r="236" spans="1:18" x14ac:dyDescent="0.15">
      <c r="A236" s="179" t="str">
        <f t="shared" si="4"/>
        <v>CDMX_Optimal Year Round_90</v>
      </c>
      <c r="B236" s="501" t="s">
        <v>630</v>
      </c>
      <c r="C236" s="429">
        <v>19</v>
      </c>
      <c r="D236" s="429">
        <v>90</v>
      </c>
      <c r="E236" s="431">
        <v>4.62</v>
      </c>
      <c r="F236" s="431">
        <v>5.21</v>
      </c>
      <c r="G236" s="431">
        <v>5.5</v>
      </c>
      <c r="H236" s="431">
        <v>5.03</v>
      </c>
      <c r="I236" s="431">
        <v>4.63</v>
      </c>
      <c r="J236" s="431">
        <v>4.47</v>
      </c>
      <c r="K236" s="431">
        <v>4.37</v>
      </c>
      <c r="L236" s="431">
        <v>4.1100000000000003</v>
      </c>
      <c r="M236" s="431">
        <v>3.98</v>
      </c>
      <c r="N236" s="431">
        <v>4.26</v>
      </c>
      <c r="O236" s="431">
        <v>4.54</v>
      </c>
      <c r="P236" s="431">
        <v>4.2300000000000004</v>
      </c>
      <c r="Q236" s="179">
        <f t="shared" si="5"/>
        <v>4.5791666666666657</v>
      </c>
      <c r="R236" s="179" t="s">
        <v>993</v>
      </c>
    </row>
    <row r="237" spans="1:18" x14ac:dyDescent="0.15">
      <c r="A237" s="179" t="str">
        <f t="shared" si="4"/>
        <v>CDMX_Optimal Year Round_112.5</v>
      </c>
      <c r="B237" s="501" t="s">
        <v>630</v>
      </c>
      <c r="C237" s="429">
        <v>19</v>
      </c>
      <c r="D237" s="429">
        <v>112.5</v>
      </c>
      <c r="E237" s="431">
        <v>5.0599999999999996</v>
      </c>
      <c r="F237" s="431">
        <v>5.7</v>
      </c>
      <c r="G237" s="431">
        <v>6.02</v>
      </c>
      <c r="H237" s="431">
        <v>5.5</v>
      </c>
      <c r="I237" s="431">
        <v>5.07</v>
      </c>
      <c r="J237" s="431">
        <v>4.8899999999999997</v>
      </c>
      <c r="K237" s="431">
        <v>4.78</v>
      </c>
      <c r="L237" s="431">
        <v>4.5</v>
      </c>
      <c r="M237" s="431">
        <v>4.3499999999999996</v>
      </c>
      <c r="N237" s="431">
        <v>4.66</v>
      </c>
      <c r="O237" s="431">
        <v>4.97</v>
      </c>
      <c r="P237" s="431">
        <v>4.63</v>
      </c>
      <c r="Q237" s="179">
        <f t="shared" si="5"/>
        <v>5.0108333333333333</v>
      </c>
      <c r="R237" s="179" t="s">
        <v>993</v>
      </c>
    </row>
    <row r="238" spans="1:18" x14ac:dyDescent="0.15">
      <c r="A238" s="179" t="str">
        <f t="shared" si="4"/>
        <v>CDMX_Optimal Year Round_135</v>
      </c>
      <c r="B238" s="501" t="s">
        <v>630</v>
      </c>
      <c r="C238" s="429">
        <v>19</v>
      </c>
      <c r="D238" s="429">
        <v>135</v>
      </c>
      <c r="E238" s="431">
        <v>5.49</v>
      </c>
      <c r="F238" s="431">
        <v>6.18</v>
      </c>
      <c r="G238" s="431">
        <v>6.54</v>
      </c>
      <c r="H238" s="431">
        <v>5.98</v>
      </c>
      <c r="I238" s="431">
        <v>5.5</v>
      </c>
      <c r="J238" s="431">
        <v>5.31</v>
      </c>
      <c r="K238" s="431">
        <v>5.19</v>
      </c>
      <c r="L238" s="431">
        <v>4.88</v>
      </c>
      <c r="M238" s="431">
        <v>4.72</v>
      </c>
      <c r="N238" s="431">
        <v>5.0599999999999996</v>
      </c>
      <c r="O238" s="431">
        <v>5.4</v>
      </c>
      <c r="P238" s="431">
        <v>5.03</v>
      </c>
      <c r="Q238" s="179">
        <f t="shared" si="5"/>
        <v>5.44</v>
      </c>
      <c r="R238" s="179" t="s">
        <v>993</v>
      </c>
    </row>
    <row r="239" spans="1:18" x14ac:dyDescent="0.15">
      <c r="A239" s="179" t="str">
        <f t="shared" si="4"/>
        <v>CDMX_Optimal Year Round_157.5</v>
      </c>
      <c r="B239" s="501" t="s">
        <v>630</v>
      </c>
      <c r="C239" s="429">
        <v>19</v>
      </c>
      <c r="D239" s="429">
        <v>157.5</v>
      </c>
      <c r="E239" s="431">
        <v>5.64</v>
      </c>
      <c r="F239" s="431">
        <v>6.35</v>
      </c>
      <c r="G239" s="431">
        <v>6.71</v>
      </c>
      <c r="H239" s="431">
        <v>6.13</v>
      </c>
      <c r="I239" s="431">
        <v>5.65</v>
      </c>
      <c r="J239" s="431">
        <v>5.45</v>
      </c>
      <c r="K239" s="431">
        <v>5.32</v>
      </c>
      <c r="L239" s="431">
        <v>5.01</v>
      </c>
      <c r="M239" s="431">
        <v>4.8499999999999996</v>
      </c>
      <c r="N239" s="431">
        <v>5.2</v>
      </c>
      <c r="O239" s="431">
        <v>5.54</v>
      </c>
      <c r="P239" s="431">
        <v>5.16</v>
      </c>
      <c r="Q239" s="179">
        <f t="shared" si="5"/>
        <v>5.5841666666666674</v>
      </c>
      <c r="R239" s="179" t="s">
        <v>993</v>
      </c>
    </row>
    <row r="240" spans="1:18" x14ac:dyDescent="0.15">
      <c r="A240" s="179" t="str">
        <f t="shared" si="4"/>
        <v>CDMX_Optimal Year Round_180</v>
      </c>
      <c r="B240" s="501" t="s">
        <v>630</v>
      </c>
      <c r="C240" s="429">
        <v>19</v>
      </c>
      <c r="D240" s="429">
        <v>180</v>
      </c>
      <c r="E240" s="431">
        <v>5.78</v>
      </c>
      <c r="F240" s="431">
        <v>6.51</v>
      </c>
      <c r="G240" s="431">
        <v>6.88</v>
      </c>
      <c r="H240" s="431">
        <v>6.29</v>
      </c>
      <c r="I240" s="431">
        <v>5.79</v>
      </c>
      <c r="J240" s="431">
        <v>5.59</v>
      </c>
      <c r="K240" s="431">
        <v>5.46</v>
      </c>
      <c r="L240" s="431">
        <v>5.14</v>
      </c>
      <c r="M240" s="431">
        <v>4.97</v>
      </c>
      <c r="N240" s="431">
        <v>5.33</v>
      </c>
      <c r="O240" s="431">
        <v>5.68</v>
      </c>
      <c r="P240" s="431">
        <v>5.29</v>
      </c>
      <c r="Q240" s="179">
        <f t="shared" si="5"/>
        <v>5.7258333333333331</v>
      </c>
      <c r="R240" s="179" t="s">
        <v>993</v>
      </c>
    </row>
    <row r="241" spans="1:18" x14ac:dyDescent="0.15">
      <c r="A241" s="179" t="str">
        <f t="shared" si="4"/>
        <v>CDMX_Optimal Year Round_202.5</v>
      </c>
      <c r="B241" s="501" t="s">
        <v>630</v>
      </c>
      <c r="C241" s="429">
        <v>19</v>
      </c>
      <c r="D241" s="429">
        <v>202.5</v>
      </c>
      <c r="E241" s="431">
        <v>5.64</v>
      </c>
      <c r="F241" s="431">
        <v>6.35</v>
      </c>
      <c r="G241" s="431">
        <v>6.71</v>
      </c>
      <c r="H241" s="431">
        <v>6.13</v>
      </c>
      <c r="I241" s="431">
        <v>5.65</v>
      </c>
      <c r="J241" s="431">
        <v>5.45</v>
      </c>
      <c r="K241" s="431">
        <v>5.32</v>
      </c>
      <c r="L241" s="431">
        <v>5.01</v>
      </c>
      <c r="M241" s="431">
        <v>4.8499999999999996</v>
      </c>
      <c r="N241" s="431">
        <v>5.2</v>
      </c>
      <c r="O241" s="431">
        <v>5.54</v>
      </c>
      <c r="P241" s="431">
        <v>5.16</v>
      </c>
      <c r="Q241" s="179">
        <f t="shared" si="5"/>
        <v>5.5841666666666674</v>
      </c>
      <c r="R241" s="179" t="s">
        <v>993</v>
      </c>
    </row>
    <row r="242" spans="1:18" x14ac:dyDescent="0.15">
      <c r="A242" s="179" t="str">
        <f t="shared" si="4"/>
        <v>CDMX_Optimal Year Round_225</v>
      </c>
      <c r="B242" s="501" t="s">
        <v>630</v>
      </c>
      <c r="C242" s="429">
        <v>19</v>
      </c>
      <c r="D242" s="429">
        <v>225</v>
      </c>
      <c r="E242" s="431">
        <v>5.49</v>
      </c>
      <c r="F242" s="431">
        <v>6.18</v>
      </c>
      <c r="G242" s="431">
        <v>6.54</v>
      </c>
      <c r="H242" s="431">
        <v>5.98</v>
      </c>
      <c r="I242" s="431">
        <v>5.5</v>
      </c>
      <c r="J242" s="431">
        <v>5.31</v>
      </c>
      <c r="K242" s="431">
        <v>5.19</v>
      </c>
      <c r="L242" s="431">
        <v>4.88</v>
      </c>
      <c r="M242" s="431">
        <v>4.72</v>
      </c>
      <c r="N242" s="431">
        <v>5.0599999999999996</v>
      </c>
      <c r="O242" s="431">
        <v>5.4</v>
      </c>
      <c r="P242" s="431">
        <v>5.03</v>
      </c>
      <c r="Q242" s="179">
        <f t="shared" si="5"/>
        <v>5.44</v>
      </c>
      <c r="R242" s="179" t="s">
        <v>993</v>
      </c>
    </row>
    <row r="243" spans="1:18" x14ac:dyDescent="0.15">
      <c r="A243" s="179" t="str">
        <f t="shared" si="4"/>
        <v>CDMX_Optimal Year Round_247.5</v>
      </c>
      <c r="B243" s="501" t="s">
        <v>630</v>
      </c>
      <c r="C243" s="429">
        <v>19</v>
      </c>
      <c r="D243" s="429">
        <v>247.5</v>
      </c>
      <c r="E243" s="431">
        <v>5.0599999999999996</v>
      </c>
      <c r="F243" s="431">
        <v>5.7</v>
      </c>
      <c r="G243" s="431">
        <v>6.02</v>
      </c>
      <c r="H243" s="431">
        <v>5.5</v>
      </c>
      <c r="I243" s="431">
        <v>5.07</v>
      </c>
      <c r="J243" s="431">
        <v>4.8899999999999997</v>
      </c>
      <c r="K243" s="431">
        <v>4.78</v>
      </c>
      <c r="L243" s="431">
        <v>4.5</v>
      </c>
      <c r="M243" s="431">
        <v>4.3499999999999996</v>
      </c>
      <c r="N243" s="431">
        <v>4.66</v>
      </c>
      <c r="O243" s="431">
        <v>4.97</v>
      </c>
      <c r="P243" s="431">
        <v>4.63</v>
      </c>
      <c r="Q243" s="179">
        <f t="shared" si="5"/>
        <v>5.0108333333333333</v>
      </c>
      <c r="R243" s="179" t="s">
        <v>993</v>
      </c>
    </row>
    <row r="244" spans="1:18" x14ac:dyDescent="0.15">
      <c r="A244" s="179" t="str">
        <f t="shared" si="4"/>
        <v>CDMX_Optimal Year Round_270</v>
      </c>
      <c r="B244" s="501" t="s">
        <v>630</v>
      </c>
      <c r="C244" s="429">
        <v>19</v>
      </c>
      <c r="D244" s="429">
        <v>270</v>
      </c>
      <c r="E244" s="431">
        <v>4.62</v>
      </c>
      <c r="F244" s="431">
        <v>5.21</v>
      </c>
      <c r="G244" s="431">
        <v>5.5</v>
      </c>
      <c r="H244" s="431">
        <v>5.03</v>
      </c>
      <c r="I244" s="431">
        <v>4.63</v>
      </c>
      <c r="J244" s="431">
        <v>4.47</v>
      </c>
      <c r="K244" s="431">
        <v>4.37</v>
      </c>
      <c r="L244" s="431">
        <v>4.1100000000000003</v>
      </c>
      <c r="M244" s="431">
        <v>3.98</v>
      </c>
      <c r="N244" s="431">
        <v>4.26</v>
      </c>
      <c r="O244" s="431">
        <v>4.54</v>
      </c>
      <c r="P244" s="431">
        <v>4.2300000000000004</v>
      </c>
      <c r="Q244" s="179">
        <f t="shared" si="5"/>
        <v>4.5791666666666657</v>
      </c>
      <c r="R244" s="179" t="s">
        <v>993</v>
      </c>
    </row>
    <row r="245" spans="1:18" x14ac:dyDescent="0.15">
      <c r="A245" s="179" t="str">
        <f t="shared" si="4"/>
        <v>Celaya_Flat Surface_90</v>
      </c>
      <c r="B245" s="501" t="s">
        <v>1122</v>
      </c>
      <c r="C245" s="429">
        <v>0</v>
      </c>
      <c r="D245" s="429">
        <v>90</v>
      </c>
      <c r="E245" s="431">
        <v>4.8</v>
      </c>
      <c r="F245" s="431">
        <v>5.81</v>
      </c>
      <c r="G245" s="431">
        <v>6.73</v>
      </c>
      <c r="H245" s="431">
        <v>6.91</v>
      </c>
      <c r="I245" s="431">
        <v>6.77</v>
      </c>
      <c r="J245" s="431">
        <v>6.33</v>
      </c>
      <c r="K245" s="431">
        <v>6.11</v>
      </c>
      <c r="L245" s="431">
        <v>5.93</v>
      </c>
      <c r="M245" s="431">
        <v>5.41</v>
      </c>
      <c r="N245" s="431">
        <v>5.24</v>
      </c>
      <c r="O245" s="431">
        <v>5.05</v>
      </c>
      <c r="P245" s="431">
        <v>4.43</v>
      </c>
      <c r="Q245" s="179">
        <f t="shared" si="5"/>
        <v>5.7933333333333339</v>
      </c>
      <c r="R245" s="179" t="s">
        <v>994</v>
      </c>
    </row>
    <row r="246" spans="1:18" x14ac:dyDescent="0.15">
      <c r="A246" s="179" t="str">
        <f t="shared" si="4"/>
        <v>Celaya_Flat Surface_112.5</v>
      </c>
      <c r="B246" s="501" t="s">
        <v>1122</v>
      </c>
      <c r="C246" s="429">
        <v>0</v>
      </c>
      <c r="D246" s="429">
        <v>112.5</v>
      </c>
      <c r="E246" s="431">
        <v>4.8</v>
      </c>
      <c r="F246" s="431">
        <v>5.81</v>
      </c>
      <c r="G246" s="431">
        <v>6.73</v>
      </c>
      <c r="H246" s="431">
        <v>6.91</v>
      </c>
      <c r="I246" s="431">
        <v>6.77</v>
      </c>
      <c r="J246" s="431">
        <v>6.33</v>
      </c>
      <c r="K246" s="431">
        <v>6.11</v>
      </c>
      <c r="L246" s="431">
        <v>5.93</v>
      </c>
      <c r="M246" s="431">
        <v>5.41</v>
      </c>
      <c r="N246" s="431">
        <v>5.24</v>
      </c>
      <c r="O246" s="431">
        <v>5.05</v>
      </c>
      <c r="P246" s="431">
        <v>4.43</v>
      </c>
      <c r="Q246" s="179">
        <f t="shared" si="5"/>
        <v>5.7933333333333339</v>
      </c>
      <c r="R246" s="179" t="s">
        <v>994</v>
      </c>
    </row>
    <row r="247" spans="1:18" x14ac:dyDescent="0.15">
      <c r="A247" s="179" t="str">
        <f t="shared" si="4"/>
        <v>Celaya_Flat Surface_135</v>
      </c>
      <c r="B247" s="501" t="s">
        <v>1122</v>
      </c>
      <c r="C247" s="429">
        <v>0</v>
      </c>
      <c r="D247" s="429">
        <v>135</v>
      </c>
      <c r="E247" s="431">
        <v>4.8</v>
      </c>
      <c r="F247" s="431">
        <v>5.81</v>
      </c>
      <c r="G247" s="431">
        <v>6.73</v>
      </c>
      <c r="H247" s="431">
        <v>6.91</v>
      </c>
      <c r="I247" s="431">
        <v>6.77</v>
      </c>
      <c r="J247" s="431">
        <v>6.33</v>
      </c>
      <c r="K247" s="431">
        <v>6.11</v>
      </c>
      <c r="L247" s="431">
        <v>5.93</v>
      </c>
      <c r="M247" s="431">
        <v>5.41</v>
      </c>
      <c r="N247" s="431">
        <v>5.24</v>
      </c>
      <c r="O247" s="431">
        <v>5.05</v>
      </c>
      <c r="P247" s="431">
        <v>4.43</v>
      </c>
      <c r="Q247" s="179">
        <f t="shared" si="5"/>
        <v>5.7933333333333339</v>
      </c>
      <c r="R247" s="179" t="s">
        <v>994</v>
      </c>
    </row>
    <row r="248" spans="1:18" x14ac:dyDescent="0.15">
      <c r="A248" s="179" t="str">
        <f t="shared" si="4"/>
        <v>Celaya_Flat Surface_157.5</v>
      </c>
      <c r="B248" s="501" t="s">
        <v>1122</v>
      </c>
      <c r="C248" s="429">
        <v>0</v>
      </c>
      <c r="D248" s="429">
        <v>157.5</v>
      </c>
      <c r="E248" s="431">
        <v>4.8</v>
      </c>
      <c r="F248" s="431">
        <v>5.81</v>
      </c>
      <c r="G248" s="431">
        <v>6.73</v>
      </c>
      <c r="H248" s="431">
        <v>6.91</v>
      </c>
      <c r="I248" s="431">
        <v>6.77</v>
      </c>
      <c r="J248" s="431">
        <v>6.33</v>
      </c>
      <c r="K248" s="431">
        <v>6.11</v>
      </c>
      <c r="L248" s="431">
        <v>5.93</v>
      </c>
      <c r="M248" s="431">
        <v>5.41</v>
      </c>
      <c r="N248" s="431">
        <v>5.24</v>
      </c>
      <c r="O248" s="431">
        <v>5.05</v>
      </c>
      <c r="P248" s="431">
        <v>4.43</v>
      </c>
      <c r="Q248" s="179">
        <f t="shared" si="5"/>
        <v>5.7933333333333339</v>
      </c>
      <c r="R248" s="179" t="s">
        <v>994</v>
      </c>
    </row>
    <row r="249" spans="1:18" x14ac:dyDescent="0.15">
      <c r="A249" s="179" t="str">
        <f t="shared" si="4"/>
        <v>Celaya_Flat Surface_180</v>
      </c>
      <c r="B249" s="501" t="s">
        <v>1122</v>
      </c>
      <c r="C249" s="429">
        <v>0</v>
      </c>
      <c r="D249" s="429">
        <v>180</v>
      </c>
      <c r="E249" s="431">
        <v>4.8</v>
      </c>
      <c r="F249" s="431">
        <v>5.81</v>
      </c>
      <c r="G249" s="431">
        <v>6.73</v>
      </c>
      <c r="H249" s="431">
        <v>6.91</v>
      </c>
      <c r="I249" s="431">
        <v>6.77</v>
      </c>
      <c r="J249" s="431">
        <v>6.33</v>
      </c>
      <c r="K249" s="431">
        <v>6.11</v>
      </c>
      <c r="L249" s="431">
        <v>5.93</v>
      </c>
      <c r="M249" s="431">
        <v>5.41</v>
      </c>
      <c r="N249" s="431">
        <v>5.24</v>
      </c>
      <c r="O249" s="431">
        <v>5.05</v>
      </c>
      <c r="P249" s="431">
        <v>4.43</v>
      </c>
      <c r="Q249" s="179">
        <f t="shared" si="5"/>
        <v>5.7933333333333339</v>
      </c>
      <c r="R249" s="179" t="s">
        <v>994</v>
      </c>
    </row>
    <row r="250" spans="1:18" x14ac:dyDescent="0.15">
      <c r="A250" s="179" t="str">
        <f t="shared" si="4"/>
        <v>Celaya_Flat Surface_202.5</v>
      </c>
      <c r="B250" s="501" t="s">
        <v>1122</v>
      </c>
      <c r="C250" s="429">
        <v>0</v>
      </c>
      <c r="D250" s="429">
        <v>202.5</v>
      </c>
      <c r="E250" s="431">
        <v>4.8</v>
      </c>
      <c r="F250" s="431">
        <v>5.81</v>
      </c>
      <c r="G250" s="431">
        <v>6.73</v>
      </c>
      <c r="H250" s="431">
        <v>6.91</v>
      </c>
      <c r="I250" s="431">
        <v>6.77</v>
      </c>
      <c r="J250" s="431">
        <v>6.33</v>
      </c>
      <c r="K250" s="431">
        <v>6.11</v>
      </c>
      <c r="L250" s="431">
        <v>5.93</v>
      </c>
      <c r="M250" s="431">
        <v>5.41</v>
      </c>
      <c r="N250" s="431">
        <v>5.24</v>
      </c>
      <c r="O250" s="431">
        <v>5.05</v>
      </c>
      <c r="P250" s="431">
        <v>4.43</v>
      </c>
      <c r="Q250" s="179">
        <f t="shared" si="5"/>
        <v>5.7933333333333339</v>
      </c>
      <c r="R250" s="179" t="s">
        <v>994</v>
      </c>
    </row>
    <row r="251" spans="1:18" x14ac:dyDescent="0.15">
      <c r="A251" s="179" t="str">
        <f t="shared" si="4"/>
        <v>Celaya_Flat Surface_225</v>
      </c>
      <c r="B251" s="501" t="s">
        <v>1122</v>
      </c>
      <c r="C251" s="429">
        <v>0</v>
      </c>
      <c r="D251" s="429">
        <v>225</v>
      </c>
      <c r="E251" s="431">
        <v>4.8</v>
      </c>
      <c r="F251" s="431">
        <v>5.81</v>
      </c>
      <c r="G251" s="431">
        <v>6.73</v>
      </c>
      <c r="H251" s="431">
        <v>6.91</v>
      </c>
      <c r="I251" s="431">
        <v>6.77</v>
      </c>
      <c r="J251" s="431">
        <v>6.33</v>
      </c>
      <c r="K251" s="431">
        <v>6.11</v>
      </c>
      <c r="L251" s="431">
        <v>5.93</v>
      </c>
      <c r="M251" s="431">
        <v>5.41</v>
      </c>
      <c r="N251" s="431">
        <v>5.24</v>
      </c>
      <c r="O251" s="431">
        <v>5.05</v>
      </c>
      <c r="P251" s="431">
        <v>4.43</v>
      </c>
      <c r="Q251" s="179">
        <f t="shared" si="5"/>
        <v>5.7933333333333339</v>
      </c>
      <c r="R251" s="179" t="s">
        <v>994</v>
      </c>
    </row>
    <row r="252" spans="1:18" x14ac:dyDescent="0.15">
      <c r="A252" s="179" t="str">
        <f t="shared" si="4"/>
        <v>Celaya_Flat Surface_247.5</v>
      </c>
      <c r="B252" s="501" t="s">
        <v>1122</v>
      </c>
      <c r="C252" s="429">
        <v>0</v>
      </c>
      <c r="D252" s="429">
        <v>247.5</v>
      </c>
      <c r="E252" s="431">
        <v>4.8</v>
      </c>
      <c r="F252" s="431">
        <v>5.81</v>
      </c>
      <c r="G252" s="431">
        <v>6.73</v>
      </c>
      <c r="H252" s="431">
        <v>6.91</v>
      </c>
      <c r="I252" s="431">
        <v>6.77</v>
      </c>
      <c r="J252" s="431">
        <v>6.33</v>
      </c>
      <c r="K252" s="431">
        <v>6.11</v>
      </c>
      <c r="L252" s="431">
        <v>5.93</v>
      </c>
      <c r="M252" s="431">
        <v>5.41</v>
      </c>
      <c r="N252" s="431">
        <v>5.24</v>
      </c>
      <c r="O252" s="431">
        <v>5.05</v>
      </c>
      <c r="P252" s="431">
        <v>4.43</v>
      </c>
      <c r="Q252" s="179">
        <f t="shared" si="5"/>
        <v>5.7933333333333339</v>
      </c>
      <c r="R252" s="179" t="s">
        <v>994</v>
      </c>
    </row>
    <row r="253" spans="1:18" x14ac:dyDescent="0.15">
      <c r="A253" s="179" t="str">
        <f t="shared" si="4"/>
        <v>Celaya_Flat Surface_270</v>
      </c>
      <c r="B253" s="501" t="s">
        <v>1122</v>
      </c>
      <c r="C253" s="429">
        <v>0</v>
      </c>
      <c r="D253" s="429">
        <v>270</v>
      </c>
      <c r="E253" s="431">
        <v>4.8</v>
      </c>
      <c r="F253" s="431">
        <v>5.81</v>
      </c>
      <c r="G253" s="431">
        <v>6.73</v>
      </c>
      <c r="H253" s="431">
        <v>6.91</v>
      </c>
      <c r="I253" s="431">
        <v>6.77</v>
      </c>
      <c r="J253" s="431">
        <v>6.33</v>
      </c>
      <c r="K253" s="431">
        <v>6.11</v>
      </c>
      <c r="L253" s="431">
        <v>5.93</v>
      </c>
      <c r="M253" s="431">
        <v>5.41</v>
      </c>
      <c r="N253" s="431">
        <v>5.24</v>
      </c>
      <c r="O253" s="431">
        <v>5.05</v>
      </c>
      <c r="P253" s="431">
        <v>4.43</v>
      </c>
      <c r="Q253" s="179">
        <f t="shared" si="5"/>
        <v>5.7933333333333339</v>
      </c>
      <c r="R253" s="179" t="s">
        <v>994</v>
      </c>
    </row>
    <row r="254" spans="1:18" x14ac:dyDescent="0.15">
      <c r="A254" s="179" t="str">
        <f t="shared" si="4"/>
        <v>Celaya_Optimal Summer_90</v>
      </c>
      <c r="B254" s="501" t="s">
        <v>1122</v>
      </c>
      <c r="C254" s="429">
        <v>5</v>
      </c>
      <c r="D254" s="429">
        <v>90</v>
      </c>
      <c r="E254" s="431">
        <v>4.12</v>
      </c>
      <c r="F254" s="431">
        <v>4.8899999999999997</v>
      </c>
      <c r="G254" s="431">
        <v>5.54</v>
      </c>
      <c r="H254" s="431">
        <v>5.56</v>
      </c>
      <c r="I254" s="431">
        <v>5.37</v>
      </c>
      <c r="J254" s="431">
        <v>5.1100000000000003</v>
      </c>
      <c r="K254" s="431">
        <v>4.92</v>
      </c>
      <c r="L254" s="431">
        <v>4.74</v>
      </c>
      <c r="M254" s="431">
        <v>4.3899999999999997</v>
      </c>
      <c r="N254" s="431">
        <v>4.3499999999999996</v>
      </c>
      <c r="O254" s="431">
        <v>4.3099999999999996</v>
      </c>
      <c r="P254" s="431">
        <v>3.8</v>
      </c>
      <c r="Q254" s="179">
        <f t="shared" si="5"/>
        <v>4.7583333333333337</v>
      </c>
      <c r="R254" s="179" t="s">
        <v>958</v>
      </c>
    </row>
    <row r="255" spans="1:18" x14ac:dyDescent="0.15">
      <c r="A255" s="179" t="str">
        <f t="shared" si="4"/>
        <v>Celaya_Optimal Summer_112.5</v>
      </c>
      <c r="B255" s="501" t="s">
        <v>1122</v>
      </c>
      <c r="C255" s="429">
        <v>5</v>
      </c>
      <c r="D255" s="429">
        <v>112.5</v>
      </c>
      <c r="E255" s="431">
        <v>4.51</v>
      </c>
      <c r="F255" s="431">
        <v>5.35</v>
      </c>
      <c r="G255" s="431">
        <v>6.06</v>
      </c>
      <c r="H255" s="431">
        <v>6.08</v>
      </c>
      <c r="I255" s="431">
        <v>5.87</v>
      </c>
      <c r="J255" s="431">
        <v>5.59</v>
      </c>
      <c r="K255" s="431">
        <v>5.38</v>
      </c>
      <c r="L255" s="431">
        <v>5.19</v>
      </c>
      <c r="M255" s="431">
        <v>4.8</v>
      </c>
      <c r="N255" s="431">
        <v>4.76</v>
      </c>
      <c r="O255" s="431">
        <v>4.72</v>
      </c>
      <c r="P255" s="431">
        <v>4.16</v>
      </c>
      <c r="Q255" s="179">
        <f t="shared" si="5"/>
        <v>5.2058333333333335</v>
      </c>
      <c r="R255" s="179" t="s">
        <v>958</v>
      </c>
    </row>
    <row r="256" spans="1:18" x14ac:dyDescent="0.15">
      <c r="A256" s="179" t="str">
        <f t="shared" si="4"/>
        <v>Celaya_Optimal Summer_135</v>
      </c>
      <c r="B256" s="501" t="s">
        <v>1122</v>
      </c>
      <c r="C256" s="429">
        <v>5</v>
      </c>
      <c r="D256" s="429">
        <v>135</v>
      </c>
      <c r="E256" s="431">
        <v>4.8899999999999997</v>
      </c>
      <c r="F256" s="431">
        <v>5.8</v>
      </c>
      <c r="G256" s="431">
        <v>6.57</v>
      </c>
      <c r="H256" s="431">
        <v>6.6</v>
      </c>
      <c r="I256" s="431">
        <v>6.37</v>
      </c>
      <c r="J256" s="431">
        <v>6.07</v>
      </c>
      <c r="K256" s="431">
        <v>5.84</v>
      </c>
      <c r="L256" s="431">
        <v>5.63</v>
      </c>
      <c r="M256" s="431">
        <v>5.22</v>
      </c>
      <c r="N256" s="431">
        <v>5.17</v>
      </c>
      <c r="O256" s="431">
        <v>5.12</v>
      </c>
      <c r="P256" s="431">
        <v>4.51</v>
      </c>
      <c r="Q256" s="179">
        <f t="shared" si="5"/>
        <v>5.6491666666666669</v>
      </c>
      <c r="R256" s="179" t="s">
        <v>958</v>
      </c>
    </row>
    <row r="257" spans="1:18" x14ac:dyDescent="0.15">
      <c r="A257" s="179" t="str">
        <f t="shared" si="4"/>
        <v>Celaya_Optimal Summer_157.5</v>
      </c>
      <c r="B257" s="501" t="s">
        <v>1122</v>
      </c>
      <c r="C257" s="429">
        <v>5</v>
      </c>
      <c r="D257" s="429">
        <v>157.5</v>
      </c>
      <c r="E257" s="431">
        <v>5.0199999999999996</v>
      </c>
      <c r="F257" s="431">
        <v>5.96</v>
      </c>
      <c r="G257" s="431">
        <v>6.75</v>
      </c>
      <c r="H257" s="431">
        <v>6.78</v>
      </c>
      <c r="I257" s="431">
        <v>6.54</v>
      </c>
      <c r="J257" s="431">
        <v>6.23</v>
      </c>
      <c r="K257" s="431">
        <v>6</v>
      </c>
      <c r="L257" s="431">
        <v>5.78</v>
      </c>
      <c r="M257" s="431">
        <v>5.35</v>
      </c>
      <c r="N257" s="431">
        <v>5.3</v>
      </c>
      <c r="O257" s="431">
        <v>5.26</v>
      </c>
      <c r="P257" s="431">
        <v>4.63</v>
      </c>
      <c r="Q257" s="179">
        <f t="shared" si="5"/>
        <v>5.8</v>
      </c>
      <c r="R257" s="179" t="s">
        <v>958</v>
      </c>
    </row>
    <row r="258" spans="1:18" x14ac:dyDescent="0.15">
      <c r="A258" s="179" t="str">
        <f t="shared" ref="A258:A321" si="6">B258&amp;"_"&amp;R258&amp;"_"&amp;D258</f>
        <v>Celaya_Optimal Summer_180</v>
      </c>
      <c r="B258" s="501" t="s">
        <v>1122</v>
      </c>
      <c r="C258" s="429">
        <v>5</v>
      </c>
      <c r="D258" s="429">
        <v>180</v>
      </c>
      <c r="E258" s="431">
        <v>5.15</v>
      </c>
      <c r="F258" s="431">
        <v>6.11</v>
      </c>
      <c r="G258" s="431">
        <v>6.92</v>
      </c>
      <c r="H258" s="431">
        <v>6.95</v>
      </c>
      <c r="I258" s="431">
        <v>6.71</v>
      </c>
      <c r="J258" s="431">
        <v>6.39</v>
      </c>
      <c r="K258" s="431">
        <v>6.15</v>
      </c>
      <c r="L258" s="431">
        <v>5.93</v>
      </c>
      <c r="M258" s="431">
        <v>5.49</v>
      </c>
      <c r="N258" s="431">
        <v>5.44</v>
      </c>
      <c r="O258" s="431">
        <v>5.39</v>
      </c>
      <c r="P258" s="431">
        <v>4.75</v>
      </c>
      <c r="Q258" s="179">
        <f t="shared" ref="Q258:Q321" si="7">AVERAGE(E258:P258)</f>
        <v>5.9483333333333333</v>
      </c>
      <c r="R258" s="179" t="s">
        <v>958</v>
      </c>
    </row>
    <row r="259" spans="1:18" x14ac:dyDescent="0.15">
      <c r="A259" s="179" t="str">
        <f t="shared" si="6"/>
        <v>Celaya_Optimal Summer_202.5</v>
      </c>
      <c r="B259" s="501" t="s">
        <v>1122</v>
      </c>
      <c r="C259" s="429">
        <v>5</v>
      </c>
      <c r="D259" s="429">
        <v>202.5</v>
      </c>
      <c r="E259" s="431">
        <v>5.0199999999999996</v>
      </c>
      <c r="F259" s="431">
        <v>5.96</v>
      </c>
      <c r="G259" s="431">
        <v>6.75</v>
      </c>
      <c r="H259" s="431">
        <v>6.78</v>
      </c>
      <c r="I259" s="431">
        <v>6.54</v>
      </c>
      <c r="J259" s="431">
        <v>6.23</v>
      </c>
      <c r="K259" s="431">
        <v>6</v>
      </c>
      <c r="L259" s="431">
        <v>5.78</v>
      </c>
      <c r="M259" s="431">
        <v>5.35</v>
      </c>
      <c r="N259" s="431">
        <v>5.3</v>
      </c>
      <c r="O259" s="431">
        <v>5.26</v>
      </c>
      <c r="P259" s="431">
        <v>4.63</v>
      </c>
      <c r="Q259" s="179">
        <f t="shared" si="7"/>
        <v>5.8</v>
      </c>
      <c r="R259" s="179" t="s">
        <v>958</v>
      </c>
    </row>
    <row r="260" spans="1:18" x14ac:dyDescent="0.15">
      <c r="A260" s="179" t="str">
        <f t="shared" si="6"/>
        <v>Celaya_Optimal Summer_225</v>
      </c>
      <c r="B260" s="501" t="s">
        <v>1122</v>
      </c>
      <c r="C260" s="429">
        <v>5</v>
      </c>
      <c r="D260" s="429">
        <v>225</v>
      </c>
      <c r="E260" s="431">
        <v>4.8899999999999997</v>
      </c>
      <c r="F260" s="431">
        <v>5.8</v>
      </c>
      <c r="G260" s="431">
        <v>6.57</v>
      </c>
      <c r="H260" s="431">
        <v>6.6</v>
      </c>
      <c r="I260" s="431">
        <v>6.37</v>
      </c>
      <c r="J260" s="431">
        <v>6.07</v>
      </c>
      <c r="K260" s="431">
        <v>5.84</v>
      </c>
      <c r="L260" s="431">
        <v>5.63</v>
      </c>
      <c r="M260" s="431">
        <v>5.22</v>
      </c>
      <c r="N260" s="431">
        <v>5.17</v>
      </c>
      <c r="O260" s="431">
        <v>5.12</v>
      </c>
      <c r="P260" s="431">
        <v>4.51</v>
      </c>
      <c r="Q260" s="179">
        <f t="shared" si="7"/>
        <v>5.6491666666666669</v>
      </c>
      <c r="R260" s="179" t="s">
        <v>958</v>
      </c>
    </row>
    <row r="261" spans="1:18" x14ac:dyDescent="0.15">
      <c r="A261" s="179" t="str">
        <f t="shared" si="6"/>
        <v>Celaya_Optimal Summer_247.5</v>
      </c>
      <c r="B261" s="501" t="s">
        <v>1122</v>
      </c>
      <c r="C261" s="429">
        <v>5</v>
      </c>
      <c r="D261" s="429">
        <v>247.5</v>
      </c>
      <c r="E261" s="431">
        <v>4.51</v>
      </c>
      <c r="F261" s="431">
        <v>5.35</v>
      </c>
      <c r="G261" s="431">
        <v>6.06</v>
      </c>
      <c r="H261" s="431">
        <v>6.08</v>
      </c>
      <c r="I261" s="431">
        <v>5.87</v>
      </c>
      <c r="J261" s="431">
        <v>5.59</v>
      </c>
      <c r="K261" s="431">
        <v>5.38</v>
      </c>
      <c r="L261" s="431">
        <v>5.19</v>
      </c>
      <c r="M261" s="431">
        <v>4.8</v>
      </c>
      <c r="N261" s="431">
        <v>4.76</v>
      </c>
      <c r="O261" s="431">
        <v>4.72</v>
      </c>
      <c r="P261" s="431">
        <v>4.16</v>
      </c>
      <c r="Q261" s="179">
        <f t="shared" si="7"/>
        <v>5.2058333333333335</v>
      </c>
      <c r="R261" s="179" t="s">
        <v>958</v>
      </c>
    </row>
    <row r="262" spans="1:18" x14ac:dyDescent="0.15">
      <c r="A262" s="179" t="str">
        <f t="shared" si="6"/>
        <v>Celaya_Optimal Summer_270</v>
      </c>
      <c r="B262" s="501" t="s">
        <v>1122</v>
      </c>
      <c r="C262" s="429">
        <v>5</v>
      </c>
      <c r="D262" s="429">
        <v>270</v>
      </c>
      <c r="E262" s="431">
        <v>4.12</v>
      </c>
      <c r="F262" s="431">
        <v>4.8899999999999997</v>
      </c>
      <c r="G262" s="431">
        <v>5.54</v>
      </c>
      <c r="H262" s="431">
        <v>5.56</v>
      </c>
      <c r="I262" s="431">
        <v>5.37</v>
      </c>
      <c r="J262" s="431">
        <v>5.1100000000000003</v>
      </c>
      <c r="K262" s="431">
        <v>4.92</v>
      </c>
      <c r="L262" s="431">
        <v>4.74</v>
      </c>
      <c r="M262" s="431">
        <v>4.3899999999999997</v>
      </c>
      <c r="N262" s="431">
        <v>4.3499999999999996</v>
      </c>
      <c r="O262" s="431">
        <v>4.3099999999999996</v>
      </c>
      <c r="P262" s="431">
        <v>3.8</v>
      </c>
      <c r="Q262" s="179">
        <f t="shared" si="7"/>
        <v>4.7583333333333337</v>
      </c>
      <c r="R262" s="179" t="s">
        <v>958</v>
      </c>
    </row>
    <row r="263" spans="1:18" x14ac:dyDescent="0.15">
      <c r="A263" s="179" t="str">
        <f t="shared" si="6"/>
        <v>Celaya_Optimal Year Round_90</v>
      </c>
      <c r="B263" s="501" t="s">
        <v>1122</v>
      </c>
      <c r="C263" s="429">
        <v>20</v>
      </c>
      <c r="D263" s="429">
        <v>90</v>
      </c>
      <c r="E263" s="431">
        <v>4.78</v>
      </c>
      <c r="F263" s="431">
        <v>5.42</v>
      </c>
      <c r="G263" s="431">
        <v>5.78</v>
      </c>
      <c r="H263" s="431">
        <v>5.46</v>
      </c>
      <c r="I263" s="431">
        <v>5.0199999999999996</v>
      </c>
      <c r="J263" s="431">
        <v>5.07</v>
      </c>
      <c r="K263" s="431">
        <v>4.8600000000000003</v>
      </c>
      <c r="L263" s="431">
        <v>4.58</v>
      </c>
      <c r="M263" s="431">
        <v>4.4400000000000004</v>
      </c>
      <c r="N263" s="431">
        <v>4.66</v>
      </c>
      <c r="O263" s="431">
        <v>4.9400000000000004</v>
      </c>
      <c r="P263" s="431">
        <v>4.43</v>
      </c>
      <c r="Q263" s="179">
        <f t="shared" si="7"/>
        <v>4.9533333333333323</v>
      </c>
      <c r="R263" s="179" t="s">
        <v>993</v>
      </c>
    </row>
    <row r="264" spans="1:18" x14ac:dyDescent="0.15">
      <c r="A264" s="179" t="str">
        <f t="shared" si="6"/>
        <v>Celaya_Optimal Year Round_112.5</v>
      </c>
      <c r="B264" s="501" t="s">
        <v>1122</v>
      </c>
      <c r="C264" s="429">
        <v>20</v>
      </c>
      <c r="D264" s="429">
        <v>112.5</v>
      </c>
      <c r="E264" s="431">
        <v>5.23</v>
      </c>
      <c r="F264" s="431">
        <v>5.92</v>
      </c>
      <c r="G264" s="431">
        <v>6.32</v>
      </c>
      <c r="H264" s="431">
        <v>5.98</v>
      </c>
      <c r="I264" s="431">
        <v>5.49</v>
      </c>
      <c r="J264" s="431">
        <v>5.55</v>
      </c>
      <c r="K264" s="431">
        <v>5.31</v>
      </c>
      <c r="L264" s="431">
        <v>5.01</v>
      </c>
      <c r="M264" s="431">
        <v>4.8600000000000003</v>
      </c>
      <c r="N264" s="431">
        <v>5.0999999999999996</v>
      </c>
      <c r="O264" s="431">
        <v>5.41</v>
      </c>
      <c r="P264" s="431">
        <v>4.8499999999999996</v>
      </c>
      <c r="Q264" s="179">
        <f t="shared" si="7"/>
        <v>5.4191666666666656</v>
      </c>
      <c r="R264" s="179" t="s">
        <v>993</v>
      </c>
    </row>
    <row r="265" spans="1:18" x14ac:dyDescent="0.15">
      <c r="A265" s="179" t="str">
        <f t="shared" si="6"/>
        <v>Celaya_Optimal Year Round_135</v>
      </c>
      <c r="B265" s="501" t="s">
        <v>1122</v>
      </c>
      <c r="C265" s="429">
        <v>20</v>
      </c>
      <c r="D265" s="429">
        <v>135</v>
      </c>
      <c r="E265" s="431">
        <v>5.68</v>
      </c>
      <c r="F265" s="431">
        <v>6.43</v>
      </c>
      <c r="G265" s="431">
        <v>6.86</v>
      </c>
      <c r="H265" s="431">
        <v>6.49</v>
      </c>
      <c r="I265" s="431">
        <v>5.96</v>
      </c>
      <c r="J265" s="431">
        <v>6.02</v>
      </c>
      <c r="K265" s="431">
        <v>5.77</v>
      </c>
      <c r="L265" s="431">
        <v>5.44</v>
      </c>
      <c r="M265" s="431">
        <v>5.27</v>
      </c>
      <c r="N265" s="431">
        <v>5.54</v>
      </c>
      <c r="O265" s="431">
        <v>5.87</v>
      </c>
      <c r="P265" s="431">
        <v>5.26</v>
      </c>
      <c r="Q265" s="179">
        <f t="shared" si="7"/>
        <v>5.8824999999999994</v>
      </c>
      <c r="R265" s="179" t="s">
        <v>993</v>
      </c>
    </row>
    <row r="266" spans="1:18" x14ac:dyDescent="0.15">
      <c r="A266" s="179" t="str">
        <f t="shared" si="6"/>
        <v>Celaya_Optimal Year Round_157.5</v>
      </c>
      <c r="B266" s="501" t="s">
        <v>1122</v>
      </c>
      <c r="C266" s="429">
        <v>20</v>
      </c>
      <c r="D266" s="429">
        <v>157.5</v>
      </c>
      <c r="E266" s="431">
        <v>5.83</v>
      </c>
      <c r="F266" s="431">
        <v>6.6</v>
      </c>
      <c r="G266" s="431">
        <v>7.04</v>
      </c>
      <c r="H266" s="431">
        <v>6.66</v>
      </c>
      <c r="I266" s="431">
        <v>6.11</v>
      </c>
      <c r="J266" s="431">
        <v>6.18</v>
      </c>
      <c r="K266" s="431">
        <v>5.92</v>
      </c>
      <c r="L266" s="431">
        <v>5.59</v>
      </c>
      <c r="M266" s="431">
        <v>5.41</v>
      </c>
      <c r="N266" s="431">
        <v>5.68</v>
      </c>
      <c r="O266" s="431">
        <v>6.03</v>
      </c>
      <c r="P266" s="431">
        <v>5.4</v>
      </c>
      <c r="Q266" s="179">
        <f t="shared" si="7"/>
        <v>6.0375000000000005</v>
      </c>
      <c r="R266" s="179" t="s">
        <v>993</v>
      </c>
    </row>
    <row r="267" spans="1:18" x14ac:dyDescent="0.15">
      <c r="A267" s="179" t="str">
        <f t="shared" si="6"/>
        <v>Celaya_Optimal Year Round_180</v>
      </c>
      <c r="B267" s="501" t="s">
        <v>1122</v>
      </c>
      <c r="C267" s="429">
        <v>20</v>
      </c>
      <c r="D267" s="429">
        <v>180</v>
      </c>
      <c r="E267" s="431">
        <v>5.98</v>
      </c>
      <c r="F267" s="431">
        <v>6.77</v>
      </c>
      <c r="G267" s="431">
        <v>7.22</v>
      </c>
      <c r="H267" s="431">
        <v>6.83</v>
      </c>
      <c r="I267" s="431">
        <v>6.27</v>
      </c>
      <c r="J267" s="431">
        <v>6.34</v>
      </c>
      <c r="K267" s="431">
        <v>6.07</v>
      </c>
      <c r="L267" s="431">
        <v>5.73</v>
      </c>
      <c r="M267" s="431">
        <v>5.55</v>
      </c>
      <c r="N267" s="431">
        <v>5.83</v>
      </c>
      <c r="O267" s="431">
        <v>6.18</v>
      </c>
      <c r="P267" s="431">
        <v>5.54</v>
      </c>
      <c r="Q267" s="179">
        <f t="shared" si="7"/>
        <v>6.192499999999999</v>
      </c>
      <c r="R267" s="179" t="s">
        <v>993</v>
      </c>
    </row>
    <row r="268" spans="1:18" x14ac:dyDescent="0.15">
      <c r="A268" s="179" t="str">
        <f t="shared" si="6"/>
        <v>Celaya_Optimal Year Round_202.5</v>
      </c>
      <c r="B268" s="501" t="s">
        <v>1122</v>
      </c>
      <c r="C268" s="429">
        <v>20</v>
      </c>
      <c r="D268" s="429">
        <v>202.5</v>
      </c>
      <c r="E268" s="431">
        <v>5.83</v>
      </c>
      <c r="F268" s="431">
        <v>6.6</v>
      </c>
      <c r="G268" s="431">
        <v>7.04</v>
      </c>
      <c r="H268" s="431">
        <v>6.66</v>
      </c>
      <c r="I268" s="431">
        <v>6.11</v>
      </c>
      <c r="J268" s="431">
        <v>6.18</v>
      </c>
      <c r="K268" s="431">
        <v>5.92</v>
      </c>
      <c r="L268" s="431">
        <v>5.59</v>
      </c>
      <c r="M268" s="431">
        <v>5.41</v>
      </c>
      <c r="N268" s="431">
        <v>5.68</v>
      </c>
      <c r="O268" s="431">
        <v>6.03</v>
      </c>
      <c r="P268" s="431">
        <v>5.4</v>
      </c>
      <c r="Q268" s="179">
        <f t="shared" si="7"/>
        <v>6.0375000000000005</v>
      </c>
      <c r="R268" s="179" t="s">
        <v>993</v>
      </c>
    </row>
    <row r="269" spans="1:18" x14ac:dyDescent="0.15">
      <c r="A269" s="179" t="str">
        <f t="shared" si="6"/>
        <v>Celaya_Optimal Year Round_225</v>
      </c>
      <c r="B269" s="501" t="s">
        <v>1122</v>
      </c>
      <c r="C269" s="429">
        <v>20</v>
      </c>
      <c r="D269" s="429">
        <v>225</v>
      </c>
      <c r="E269" s="431">
        <v>5.68</v>
      </c>
      <c r="F269" s="431">
        <v>6.43</v>
      </c>
      <c r="G269" s="431">
        <v>6.86</v>
      </c>
      <c r="H269" s="431">
        <v>6.49</v>
      </c>
      <c r="I269" s="431">
        <v>5.96</v>
      </c>
      <c r="J269" s="431">
        <v>6.02</v>
      </c>
      <c r="K269" s="431">
        <v>5.77</v>
      </c>
      <c r="L269" s="431">
        <v>5.44</v>
      </c>
      <c r="M269" s="431">
        <v>5.27</v>
      </c>
      <c r="N269" s="431">
        <v>5.54</v>
      </c>
      <c r="O269" s="431">
        <v>5.87</v>
      </c>
      <c r="P269" s="431">
        <v>5.26</v>
      </c>
      <c r="Q269" s="179">
        <f t="shared" si="7"/>
        <v>5.8824999999999994</v>
      </c>
      <c r="R269" s="179" t="s">
        <v>993</v>
      </c>
    </row>
    <row r="270" spans="1:18" x14ac:dyDescent="0.15">
      <c r="A270" s="179" t="str">
        <f t="shared" si="6"/>
        <v>Celaya_Optimal Year Round_247.5</v>
      </c>
      <c r="B270" s="501" t="s">
        <v>1122</v>
      </c>
      <c r="C270" s="429">
        <v>20</v>
      </c>
      <c r="D270" s="429">
        <v>247.5</v>
      </c>
      <c r="E270" s="431">
        <v>5.23</v>
      </c>
      <c r="F270" s="431">
        <v>5.92</v>
      </c>
      <c r="G270" s="431">
        <v>6.32</v>
      </c>
      <c r="H270" s="431">
        <v>5.98</v>
      </c>
      <c r="I270" s="431">
        <v>5.49</v>
      </c>
      <c r="J270" s="431">
        <v>5.55</v>
      </c>
      <c r="K270" s="431">
        <v>5.31</v>
      </c>
      <c r="L270" s="431">
        <v>5.01</v>
      </c>
      <c r="M270" s="431">
        <v>4.8600000000000003</v>
      </c>
      <c r="N270" s="431">
        <v>5.0999999999999996</v>
      </c>
      <c r="O270" s="431">
        <v>5.41</v>
      </c>
      <c r="P270" s="431">
        <v>4.8499999999999996</v>
      </c>
      <c r="Q270" s="179">
        <f t="shared" si="7"/>
        <v>5.4191666666666656</v>
      </c>
      <c r="R270" s="179" t="s">
        <v>993</v>
      </c>
    </row>
    <row r="271" spans="1:18" x14ac:dyDescent="0.15">
      <c r="A271" s="179" t="str">
        <f t="shared" si="6"/>
        <v>Celaya_Optimal Year Round_270</v>
      </c>
      <c r="B271" s="501" t="s">
        <v>1122</v>
      </c>
      <c r="C271" s="429">
        <v>20</v>
      </c>
      <c r="D271" s="429">
        <v>270</v>
      </c>
      <c r="E271" s="431">
        <v>4.78</v>
      </c>
      <c r="F271" s="431">
        <v>5.42</v>
      </c>
      <c r="G271" s="431">
        <v>5.78</v>
      </c>
      <c r="H271" s="431">
        <v>5.46</v>
      </c>
      <c r="I271" s="431">
        <v>5.0199999999999996</v>
      </c>
      <c r="J271" s="431">
        <v>5.07</v>
      </c>
      <c r="K271" s="431">
        <v>4.8600000000000003</v>
      </c>
      <c r="L271" s="431">
        <v>4.58</v>
      </c>
      <c r="M271" s="431">
        <v>4.4400000000000004</v>
      </c>
      <c r="N271" s="431">
        <v>4.66</v>
      </c>
      <c r="O271" s="431">
        <v>4.9400000000000004</v>
      </c>
      <c r="P271" s="431">
        <v>4.43</v>
      </c>
      <c r="Q271" s="179">
        <f t="shared" si="7"/>
        <v>4.9533333333333323</v>
      </c>
      <c r="R271" s="179" t="s">
        <v>993</v>
      </c>
    </row>
    <row r="272" spans="1:18" x14ac:dyDescent="0.15">
      <c r="A272" s="179" t="str">
        <f t="shared" si="6"/>
        <v>Chihuahua_Flat Surface_90</v>
      </c>
      <c r="B272" s="501" t="s">
        <v>625</v>
      </c>
      <c r="C272" s="429">
        <v>0</v>
      </c>
      <c r="D272" s="429">
        <v>90</v>
      </c>
      <c r="E272" s="431">
        <v>3.94</v>
      </c>
      <c r="F272" s="431">
        <v>4.9000000000000004</v>
      </c>
      <c r="G272" s="431">
        <v>6.28</v>
      </c>
      <c r="H272" s="431">
        <v>6.99</v>
      </c>
      <c r="I272" s="431">
        <v>7.41</v>
      </c>
      <c r="J272" s="431">
        <v>6.7</v>
      </c>
      <c r="K272" s="431">
        <v>5.99</v>
      </c>
      <c r="L272" s="431">
        <v>5.71</v>
      </c>
      <c r="M272" s="431">
        <v>5.42</v>
      </c>
      <c r="N272" s="431">
        <v>5.08</v>
      </c>
      <c r="O272" s="431">
        <v>4.24</v>
      </c>
      <c r="P272" s="431">
        <v>3.67</v>
      </c>
      <c r="Q272" s="179">
        <f t="shared" si="7"/>
        <v>5.5274999999999999</v>
      </c>
      <c r="R272" s="179" t="s">
        <v>994</v>
      </c>
    </row>
    <row r="273" spans="1:18" x14ac:dyDescent="0.15">
      <c r="A273" s="179" t="str">
        <f t="shared" si="6"/>
        <v>Chihuahua_Flat Surface_112.5</v>
      </c>
      <c r="B273" s="501" t="s">
        <v>625</v>
      </c>
      <c r="C273" s="429">
        <v>0</v>
      </c>
      <c r="D273" s="429">
        <v>112.5</v>
      </c>
      <c r="E273" s="431">
        <v>3.94</v>
      </c>
      <c r="F273" s="431">
        <v>4.9000000000000004</v>
      </c>
      <c r="G273" s="431">
        <v>6.28</v>
      </c>
      <c r="H273" s="431">
        <v>6.99</v>
      </c>
      <c r="I273" s="431">
        <v>7.41</v>
      </c>
      <c r="J273" s="431">
        <v>6.7</v>
      </c>
      <c r="K273" s="431">
        <v>5.99</v>
      </c>
      <c r="L273" s="431">
        <v>5.71</v>
      </c>
      <c r="M273" s="431">
        <v>5.42</v>
      </c>
      <c r="N273" s="431">
        <v>5.08</v>
      </c>
      <c r="O273" s="431">
        <v>4.24</v>
      </c>
      <c r="P273" s="431">
        <v>3.67</v>
      </c>
      <c r="Q273" s="179">
        <f t="shared" si="7"/>
        <v>5.5274999999999999</v>
      </c>
      <c r="R273" s="179" t="s">
        <v>994</v>
      </c>
    </row>
    <row r="274" spans="1:18" x14ac:dyDescent="0.15">
      <c r="A274" s="179" t="str">
        <f t="shared" si="6"/>
        <v>Chihuahua_Flat Surface_135</v>
      </c>
      <c r="B274" s="501" t="s">
        <v>625</v>
      </c>
      <c r="C274" s="429">
        <v>0</v>
      </c>
      <c r="D274" s="429">
        <v>135</v>
      </c>
      <c r="E274" s="431">
        <v>3.94</v>
      </c>
      <c r="F274" s="431">
        <v>4.9000000000000004</v>
      </c>
      <c r="G274" s="431">
        <v>6.28</v>
      </c>
      <c r="H274" s="431">
        <v>6.99</v>
      </c>
      <c r="I274" s="431">
        <v>7.41</v>
      </c>
      <c r="J274" s="431">
        <v>6.7</v>
      </c>
      <c r="K274" s="431">
        <v>5.99</v>
      </c>
      <c r="L274" s="431">
        <v>5.71</v>
      </c>
      <c r="M274" s="431">
        <v>5.42</v>
      </c>
      <c r="N274" s="431">
        <v>5.08</v>
      </c>
      <c r="O274" s="431">
        <v>4.24</v>
      </c>
      <c r="P274" s="431">
        <v>3.67</v>
      </c>
      <c r="Q274" s="179">
        <f t="shared" si="7"/>
        <v>5.5274999999999999</v>
      </c>
      <c r="R274" s="179" t="s">
        <v>994</v>
      </c>
    </row>
    <row r="275" spans="1:18" x14ac:dyDescent="0.15">
      <c r="A275" s="179" t="str">
        <f t="shared" si="6"/>
        <v>Chihuahua_Flat Surface_157.5</v>
      </c>
      <c r="B275" s="501" t="s">
        <v>625</v>
      </c>
      <c r="C275" s="429">
        <v>0</v>
      </c>
      <c r="D275" s="429">
        <v>157.5</v>
      </c>
      <c r="E275" s="431">
        <v>3.94</v>
      </c>
      <c r="F275" s="431">
        <v>4.9000000000000004</v>
      </c>
      <c r="G275" s="431">
        <v>6.28</v>
      </c>
      <c r="H275" s="431">
        <v>6.99</v>
      </c>
      <c r="I275" s="431">
        <v>7.41</v>
      </c>
      <c r="J275" s="431">
        <v>6.7</v>
      </c>
      <c r="K275" s="431">
        <v>5.99</v>
      </c>
      <c r="L275" s="431">
        <v>5.71</v>
      </c>
      <c r="M275" s="431">
        <v>5.42</v>
      </c>
      <c r="N275" s="431">
        <v>5.08</v>
      </c>
      <c r="O275" s="431">
        <v>4.24</v>
      </c>
      <c r="P275" s="431">
        <v>3.67</v>
      </c>
      <c r="Q275" s="179">
        <f t="shared" si="7"/>
        <v>5.5274999999999999</v>
      </c>
      <c r="R275" s="179" t="s">
        <v>994</v>
      </c>
    </row>
    <row r="276" spans="1:18" x14ac:dyDescent="0.15">
      <c r="A276" s="179" t="str">
        <f t="shared" si="6"/>
        <v>Chihuahua_Flat Surface_180</v>
      </c>
      <c r="B276" s="501" t="s">
        <v>625</v>
      </c>
      <c r="C276" s="429">
        <v>0</v>
      </c>
      <c r="D276" s="429">
        <v>180</v>
      </c>
      <c r="E276" s="431">
        <v>3.94</v>
      </c>
      <c r="F276" s="431">
        <v>4.9000000000000004</v>
      </c>
      <c r="G276" s="431">
        <v>6.28</v>
      </c>
      <c r="H276" s="431">
        <v>6.99</v>
      </c>
      <c r="I276" s="431">
        <v>7.41</v>
      </c>
      <c r="J276" s="431">
        <v>6.7</v>
      </c>
      <c r="K276" s="431">
        <v>5.99</v>
      </c>
      <c r="L276" s="431">
        <v>5.71</v>
      </c>
      <c r="M276" s="431">
        <v>5.42</v>
      </c>
      <c r="N276" s="431">
        <v>5.08</v>
      </c>
      <c r="O276" s="431">
        <v>4.24</v>
      </c>
      <c r="P276" s="431">
        <v>3.67</v>
      </c>
      <c r="Q276" s="179">
        <f t="shared" si="7"/>
        <v>5.5274999999999999</v>
      </c>
      <c r="R276" s="179" t="s">
        <v>994</v>
      </c>
    </row>
    <row r="277" spans="1:18" x14ac:dyDescent="0.15">
      <c r="A277" s="179" t="str">
        <f t="shared" si="6"/>
        <v>Chihuahua_Flat Surface_202.5</v>
      </c>
      <c r="B277" s="501" t="s">
        <v>625</v>
      </c>
      <c r="C277" s="429">
        <v>0</v>
      </c>
      <c r="D277" s="429">
        <v>202.5</v>
      </c>
      <c r="E277" s="431">
        <v>3.94</v>
      </c>
      <c r="F277" s="431">
        <v>4.9000000000000004</v>
      </c>
      <c r="G277" s="431">
        <v>6.28</v>
      </c>
      <c r="H277" s="431">
        <v>6.99</v>
      </c>
      <c r="I277" s="431">
        <v>7.41</v>
      </c>
      <c r="J277" s="431">
        <v>6.7</v>
      </c>
      <c r="K277" s="431">
        <v>5.99</v>
      </c>
      <c r="L277" s="431">
        <v>5.71</v>
      </c>
      <c r="M277" s="431">
        <v>5.42</v>
      </c>
      <c r="N277" s="431">
        <v>5.08</v>
      </c>
      <c r="O277" s="431">
        <v>4.24</v>
      </c>
      <c r="P277" s="431">
        <v>3.67</v>
      </c>
      <c r="Q277" s="179">
        <f t="shared" si="7"/>
        <v>5.5274999999999999</v>
      </c>
      <c r="R277" s="179" t="s">
        <v>994</v>
      </c>
    </row>
    <row r="278" spans="1:18" x14ac:dyDescent="0.15">
      <c r="A278" s="179" t="str">
        <f t="shared" si="6"/>
        <v>Chihuahua_Flat Surface_225</v>
      </c>
      <c r="B278" s="501" t="s">
        <v>625</v>
      </c>
      <c r="C278" s="429">
        <v>0</v>
      </c>
      <c r="D278" s="429">
        <v>225</v>
      </c>
      <c r="E278" s="431">
        <v>3.94</v>
      </c>
      <c r="F278" s="431">
        <v>4.9000000000000004</v>
      </c>
      <c r="G278" s="431">
        <v>6.28</v>
      </c>
      <c r="H278" s="431">
        <v>6.99</v>
      </c>
      <c r="I278" s="431">
        <v>7.41</v>
      </c>
      <c r="J278" s="431">
        <v>6.7</v>
      </c>
      <c r="K278" s="431">
        <v>5.99</v>
      </c>
      <c r="L278" s="431">
        <v>5.71</v>
      </c>
      <c r="M278" s="431">
        <v>5.42</v>
      </c>
      <c r="N278" s="431">
        <v>5.08</v>
      </c>
      <c r="O278" s="431">
        <v>4.24</v>
      </c>
      <c r="P278" s="431">
        <v>3.67</v>
      </c>
      <c r="Q278" s="179">
        <f t="shared" si="7"/>
        <v>5.5274999999999999</v>
      </c>
      <c r="R278" s="179" t="s">
        <v>994</v>
      </c>
    </row>
    <row r="279" spans="1:18" x14ac:dyDescent="0.15">
      <c r="A279" s="179" t="str">
        <f t="shared" si="6"/>
        <v>Chihuahua_Flat Surface_247.5</v>
      </c>
      <c r="B279" s="501" t="s">
        <v>625</v>
      </c>
      <c r="C279" s="429">
        <v>0</v>
      </c>
      <c r="D279" s="429">
        <v>247.5</v>
      </c>
      <c r="E279" s="431">
        <v>3.94</v>
      </c>
      <c r="F279" s="431">
        <v>4.9000000000000004</v>
      </c>
      <c r="G279" s="431">
        <v>6.28</v>
      </c>
      <c r="H279" s="431">
        <v>6.99</v>
      </c>
      <c r="I279" s="431">
        <v>7.41</v>
      </c>
      <c r="J279" s="431">
        <v>6.7</v>
      </c>
      <c r="K279" s="431">
        <v>5.99</v>
      </c>
      <c r="L279" s="431">
        <v>5.71</v>
      </c>
      <c r="M279" s="431">
        <v>5.42</v>
      </c>
      <c r="N279" s="431">
        <v>5.08</v>
      </c>
      <c r="O279" s="431">
        <v>4.24</v>
      </c>
      <c r="P279" s="431">
        <v>3.67</v>
      </c>
      <c r="Q279" s="179">
        <f t="shared" si="7"/>
        <v>5.5274999999999999</v>
      </c>
      <c r="R279" s="179" t="s">
        <v>994</v>
      </c>
    </row>
    <row r="280" spans="1:18" x14ac:dyDescent="0.15">
      <c r="A280" s="179" t="str">
        <f t="shared" si="6"/>
        <v>Chihuahua_Flat Surface_270</v>
      </c>
      <c r="B280" s="501" t="s">
        <v>625</v>
      </c>
      <c r="C280" s="429">
        <v>0</v>
      </c>
      <c r="D280" s="429">
        <v>270</v>
      </c>
      <c r="E280" s="431">
        <v>3.94</v>
      </c>
      <c r="F280" s="431">
        <v>4.9000000000000004</v>
      </c>
      <c r="G280" s="431">
        <v>6.28</v>
      </c>
      <c r="H280" s="431">
        <v>6.99</v>
      </c>
      <c r="I280" s="431">
        <v>7.41</v>
      </c>
      <c r="J280" s="431">
        <v>6.7</v>
      </c>
      <c r="K280" s="431">
        <v>5.99</v>
      </c>
      <c r="L280" s="431">
        <v>5.71</v>
      </c>
      <c r="M280" s="431">
        <v>5.42</v>
      </c>
      <c r="N280" s="431">
        <v>5.08</v>
      </c>
      <c r="O280" s="431">
        <v>4.24</v>
      </c>
      <c r="P280" s="431">
        <v>3.67</v>
      </c>
      <c r="Q280" s="179">
        <f t="shared" si="7"/>
        <v>5.5274999999999999</v>
      </c>
      <c r="R280" s="179" t="s">
        <v>994</v>
      </c>
    </row>
    <row r="281" spans="1:18" x14ac:dyDescent="0.15">
      <c r="A281" s="179" t="str">
        <f t="shared" si="6"/>
        <v>Chihuahua_Optimal Summer_90</v>
      </c>
      <c r="B281" s="501" t="s">
        <v>625</v>
      </c>
      <c r="C281" s="429">
        <v>14</v>
      </c>
      <c r="D281" s="429">
        <v>90</v>
      </c>
      <c r="E281" s="431">
        <v>3.85</v>
      </c>
      <c r="F281" s="431">
        <v>4.5599999999999996</v>
      </c>
      <c r="G281" s="431">
        <v>5.49</v>
      </c>
      <c r="H281" s="431">
        <v>5.76</v>
      </c>
      <c r="I281" s="431">
        <v>5.82</v>
      </c>
      <c r="J281" s="431">
        <v>5.19</v>
      </c>
      <c r="K281" s="431">
        <v>4.6900000000000004</v>
      </c>
      <c r="L281" s="431">
        <v>4.58</v>
      </c>
      <c r="M281" s="431">
        <v>4.57</v>
      </c>
      <c r="N281" s="431">
        <v>4.5999999999999996</v>
      </c>
      <c r="O281" s="431">
        <v>4.0999999999999996</v>
      </c>
      <c r="P281" s="431">
        <v>3.66</v>
      </c>
      <c r="Q281" s="179">
        <f t="shared" si="7"/>
        <v>4.7391666666666667</v>
      </c>
      <c r="R281" s="179" t="s">
        <v>958</v>
      </c>
    </row>
    <row r="282" spans="1:18" x14ac:dyDescent="0.15">
      <c r="A282" s="179" t="str">
        <f t="shared" si="6"/>
        <v>Chihuahua_Optimal Summer_112.5</v>
      </c>
      <c r="B282" s="501" t="s">
        <v>625</v>
      </c>
      <c r="C282" s="429">
        <v>14</v>
      </c>
      <c r="D282" s="429">
        <v>112.5</v>
      </c>
      <c r="E282" s="431">
        <v>4.21</v>
      </c>
      <c r="F282" s="431">
        <v>4.99</v>
      </c>
      <c r="G282" s="431">
        <v>6</v>
      </c>
      <c r="H282" s="431">
        <v>6.3</v>
      </c>
      <c r="I282" s="431">
        <v>6.37</v>
      </c>
      <c r="J282" s="431">
        <v>5.68</v>
      </c>
      <c r="K282" s="431">
        <v>5.13</v>
      </c>
      <c r="L282" s="431">
        <v>5.01</v>
      </c>
      <c r="M282" s="431">
        <v>5</v>
      </c>
      <c r="N282" s="431">
        <v>5.03</v>
      </c>
      <c r="O282" s="431">
        <v>4.4800000000000004</v>
      </c>
      <c r="P282" s="431">
        <v>4</v>
      </c>
      <c r="Q282" s="179">
        <f t="shared" si="7"/>
        <v>5.1833333333333336</v>
      </c>
      <c r="R282" s="179" t="s">
        <v>958</v>
      </c>
    </row>
    <row r="283" spans="1:18" x14ac:dyDescent="0.15">
      <c r="A283" s="179" t="str">
        <f t="shared" si="6"/>
        <v>Chihuahua_Optimal Summer_135</v>
      </c>
      <c r="B283" s="501" t="s">
        <v>625</v>
      </c>
      <c r="C283" s="429">
        <v>14</v>
      </c>
      <c r="D283" s="429">
        <v>135</v>
      </c>
      <c r="E283" s="431">
        <v>4.57</v>
      </c>
      <c r="F283" s="431">
        <v>5.42</v>
      </c>
      <c r="G283" s="431">
        <v>6.52</v>
      </c>
      <c r="H283" s="431">
        <v>6.84</v>
      </c>
      <c r="I283" s="431">
        <v>6.92</v>
      </c>
      <c r="J283" s="431">
        <v>6.17</v>
      </c>
      <c r="K283" s="431">
        <v>5.57</v>
      </c>
      <c r="L283" s="431">
        <v>5.44</v>
      </c>
      <c r="M283" s="431">
        <v>5.42</v>
      </c>
      <c r="N283" s="431">
        <v>5.46</v>
      </c>
      <c r="O283" s="431">
        <v>4.8600000000000003</v>
      </c>
      <c r="P283" s="431">
        <v>4.34</v>
      </c>
      <c r="Q283" s="179">
        <f t="shared" si="7"/>
        <v>5.6275000000000004</v>
      </c>
      <c r="R283" s="179" t="s">
        <v>958</v>
      </c>
    </row>
    <row r="284" spans="1:18" x14ac:dyDescent="0.15">
      <c r="A284" s="179" t="str">
        <f t="shared" si="6"/>
        <v>Chihuahua_Optimal Summer_157.5</v>
      </c>
      <c r="B284" s="501" t="s">
        <v>625</v>
      </c>
      <c r="C284" s="429">
        <v>14</v>
      </c>
      <c r="D284" s="429">
        <v>157.5</v>
      </c>
      <c r="E284" s="431">
        <v>4.6900000000000004</v>
      </c>
      <c r="F284" s="431">
        <v>5.56</v>
      </c>
      <c r="G284" s="431">
        <v>6.69</v>
      </c>
      <c r="H284" s="431">
        <v>7.02</v>
      </c>
      <c r="I284" s="431">
        <v>7.1</v>
      </c>
      <c r="J284" s="431">
        <v>6.33</v>
      </c>
      <c r="K284" s="431">
        <v>5.71</v>
      </c>
      <c r="L284" s="431">
        <v>5.59</v>
      </c>
      <c r="M284" s="431">
        <v>5.57</v>
      </c>
      <c r="N284" s="431">
        <v>5.61</v>
      </c>
      <c r="O284" s="431">
        <v>4.99</v>
      </c>
      <c r="P284" s="431">
        <v>4.46</v>
      </c>
      <c r="Q284" s="179">
        <f t="shared" si="7"/>
        <v>5.7766666666666664</v>
      </c>
      <c r="R284" s="179" t="s">
        <v>958</v>
      </c>
    </row>
    <row r="285" spans="1:18" x14ac:dyDescent="0.15">
      <c r="A285" s="179" t="str">
        <f t="shared" si="6"/>
        <v>Chihuahua_Optimal Summer_180</v>
      </c>
      <c r="B285" s="501" t="s">
        <v>625</v>
      </c>
      <c r="C285" s="429">
        <v>14</v>
      </c>
      <c r="D285" s="429">
        <v>180</v>
      </c>
      <c r="E285" s="431">
        <v>4.8099999999999996</v>
      </c>
      <c r="F285" s="431">
        <v>5.7</v>
      </c>
      <c r="G285" s="431">
        <v>6.86</v>
      </c>
      <c r="H285" s="431">
        <v>7.2</v>
      </c>
      <c r="I285" s="431">
        <v>7.28</v>
      </c>
      <c r="J285" s="431">
        <v>6.49</v>
      </c>
      <c r="K285" s="431">
        <v>5.86</v>
      </c>
      <c r="L285" s="431">
        <v>5.73</v>
      </c>
      <c r="M285" s="431">
        <v>5.71</v>
      </c>
      <c r="N285" s="431">
        <v>5.75</v>
      </c>
      <c r="O285" s="431">
        <v>5.12</v>
      </c>
      <c r="P285" s="431">
        <v>4.57</v>
      </c>
      <c r="Q285" s="179">
        <f t="shared" si="7"/>
        <v>5.9233333333333347</v>
      </c>
      <c r="R285" s="179" t="s">
        <v>958</v>
      </c>
    </row>
    <row r="286" spans="1:18" x14ac:dyDescent="0.15">
      <c r="A286" s="179" t="str">
        <f t="shared" si="6"/>
        <v>Chihuahua_Optimal Summer_202.5</v>
      </c>
      <c r="B286" s="501" t="s">
        <v>625</v>
      </c>
      <c r="C286" s="429">
        <v>14</v>
      </c>
      <c r="D286" s="429">
        <v>202.5</v>
      </c>
      <c r="E286" s="431">
        <v>4.6900000000000004</v>
      </c>
      <c r="F286" s="431">
        <v>5.56</v>
      </c>
      <c r="G286" s="431">
        <v>6.69</v>
      </c>
      <c r="H286" s="431">
        <v>7.02</v>
      </c>
      <c r="I286" s="431">
        <v>7.1</v>
      </c>
      <c r="J286" s="431">
        <v>6.33</v>
      </c>
      <c r="K286" s="431">
        <v>5.71</v>
      </c>
      <c r="L286" s="431">
        <v>5.59</v>
      </c>
      <c r="M286" s="431">
        <v>5.57</v>
      </c>
      <c r="N286" s="431">
        <v>5.61</v>
      </c>
      <c r="O286" s="431">
        <v>4.99</v>
      </c>
      <c r="P286" s="431">
        <v>4.46</v>
      </c>
      <c r="Q286" s="179">
        <f t="shared" si="7"/>
        <v>5.7766666666666664</v>
      </c>
      <c r="R286" s="179" t="s">
        <v>958</v>
      </c>
    </row>
    <row r="287" spans="1:18" x14ac:dyDescent="0.15">
      <c r="A287" s="179" t="str">
        <f t="shared" si="6"/>
        <v>Chihuahua_Optimal Summer_225</v>
      </c>
      <c r="B287" s="501" t="s">
        <v>625</v>
      </c>
      <c r="C287" s="429">
        <v>14</v>
      </c>
      <c r="D287" s="429">
        <v>225</v>
      </c>
      <c r="E287" s="431">
        <v>4.57</v>
      </c>
      <c r="F287" s="431">
        <v>5.42</v>
      </c>
      <c r="G287" s="431">
        <v>6.52</v>
      </c>
      <c r="H287" s="431">
        <v>6.84</v>
      </c>
      <c r="I287" s="431">
        <v>6.92</v>
      </c>
      <c r="J287" s="431">
        <v>6.17</v>
      </c>
      <c r="K287" s="431">
        <v>5.57</v>
      </c>
      <c r="L287" s="431">
        <v>5.44</v>
      </c>
      <c r="M287" s="431">
        <v>5.42</v>
      </c>
      <c r="N287" s="431">
        <v>5.46</v>
      </c>
      <c r="O287" s="431">
        <v>4.8600000000000003</v>
      </c>
      <c r="P287" s="431">
        <v>4.34</v>
      </c>
      <c r="Q287" s="179">
        <f t="shared" si="7"/>
        <v>5.6275000000000004</v>
      </c>
      <c r="R287" s="179" t="s">
        <v>958</v>
      </c>
    </row>
    <row r="288" spans="1:18" x14ac:dyDescent="0.15">
      <c r="A288" s="179" t="str">
        <f t="shared" si="6"/>
        <v>Chihuahua_Optimal Summer_247.5</v>
      </c>
      <c r="B288" s="501" t="s">
        <v>625</v>
      </c>
      <c r="C288" s="429">
        <v>14</v>
      </c>
      <c r="D288" s="429">
        <v>247.5</v>
      </c>
      <c r="E288" s="431">
        <v>4.21</v>
      </c>
      <c r="F288" s="431">
        <v>4.99</v>
      </c>
      <c r="G288" s="431">
        <v>6</v>
      </c>
      <c r="H288" s="431">
        <v>6.3</v>
      </c>
      <c r="I288" s="431">
        <v>6.37</v>
      </c>
      <c r="J288" s="431">
        <v>5.68</v>
      </c>
      <c r="K288" s="431">
        <v>5.13</v>
      </c>
      <c r="L288" s="431">
        <v>5.01</v>
      </c>
      <c r="M288" s="431">
        <v>5</v>
      </c>
      <c r="N288" s="431">
        <v>5.03</v>
      </c>
      <c r="O288" s="431">
        <v>4.4800000000000004</v>
      </c>
      <c r="P288" s="431">
        <v>4</v>
      </c>
      <c r="Q288" s="179">
        <f t="shared" si="7"/>
        <v>5.1833333333333336</v>
      </c>
      <c r="R288" s="179" t="s">
        <v>958</v>
      </c>
    </row>
    <row r="289" spans="1:18" x14ac:dyDescent="0.15">
      <c r="A289" s="179" t="str">
        <f t="shared" si="6"/>
        <v>Chihuahua_Optimal Summer_270</v>
      </c>
      <c r="B289" s="501" t="s">
        <v>625</v>
      </c>
      <c r="C289" s="429">
        <v>14</v>
      </c>
      <c r="D289" s="429">
        <v>270</v>
      </c>
      <c r="E289" s="431">
        <v>3.85</v>
      </c>
      <c r="F289" s="431">
        <v>4.5599999999999996</v>
      </c>
      <c r="G289" s="431">
        <v>5.49</v>
      </c>
      <c r="H289" s="431">
        <v>5.76</v>
      </c>
      <c r="I289" s="431">
        <v>5.82</v>
      </c>
      <c r="J289" s="431">
        <v>5.19</v>
      </c>
      <c r="K289" s="431">
        <v>4.6900000000000004</v>
      </c>
      <c r="L289" s="431">
        <v>4.58</v>
      </c>
      <c r="M289" s="431">
        <v>4.57</v>
      </c>
      <c r="N289" s="431">
        <v>4.5999999999999996</v>
      </c>
      <c r="O289" s="431">
        <v>4.0999999999999996</v>
      </c>
      <c r="P289" s="431">
        <v>3.66</v>
      </c>
      <c r="Q289" s="179">
        <f t="shared" si="7"/>
        <v>4.7391666666666667</v>
      </c>
      <c r="R289" s="179" t="s">
        <v>958</v>
      </c>
    </row>
    <row r="290" spans="1:18" x14ac:dyDescent="0.15">
      <c r="A290" s="179" t="str">
        <f t="shared" si="6"/>
        <v>Chihuahua_Optimal Year Round_90</v>
      </c>
      <c r="B290" s="501" t="s">
        <v>625</v>
      </c>
      <c r="C290" s="429">
        <v>29</v>
      </c>
      <c r="D290" s="429">
        <v>90</v>
      </c>
      <c r="E290" s="431">
        <v>4.45</v>
      </c>
      <c r="F290" s="431">
        <v>5.0599999999999996</v>
      </c>
      <c r="G290" s="431">
        <v>5.74</v>
      </c>
      <c r="H290" s="431">
        <v>5.66</v>
      </c>
      <c r="I290" s="431">
        <v>5.42</v>
      </c>
      <c r="J290" s="431">
        <v>4.76</v>
      </c>
      <c r="K290" s="431">
        <v>4.3499999999999996</v>
      </c>
      <c r="L290" s="431">
        <v>4.3899999999999997</v>
      </c>
      <c r="M290" s="431">
        <v>4.62</v>
      </c>
      <c r="N290" s="431">
        <v>4.9800000000000004</v>
      </c>
      <c r="O290" s="431">
        <v>4.6900000000000004</v>
      </c>
      <c r="P290" s="431">
        <v>4.29</v>
      </c>
      <c r="Q290" s="179">
        <f t="shared" si="7"/>
        <v>4.8674999999999988</v>
      </c>
      <c r="R290" s="179" t="s">
        <v>993</v>
      </c>
    </row>
    <row r="291" spans="1:18" x14ac:dyDescent="0.15">
      <c r="A291" s="179" t="str">
        <f t="shared" si="6"/>
        <v>Chihuahua_Optimal Year Round_112.5</v>
      </c>
      <c r="B291" s="501" t="s">
        <v>625</v>
      </c>
      <c r="C291" s="429">
        <v>29</v>
      </c>
      <c r="D291" s="429">
        <v>112.5</v>
      </c>
      <c r="E291" s="431">
        <v>4.8600000000000003</v>
      </c>
      <c r="F291" s="431">
        <v>5.53</v>
      </c>
      <c r="G291" s="431">
        <v>6.28</v>
      </c>
      <c r="H291" s="431">
        <v>6.19</v>
      </c>
      <c r="I291" s="431">
        <v>5.92</v>
      </c>
      <c r="J291" s="431">
        <v>5.21</v>
      </c>
      <c r="K291" s="431">
        <v>4.76</v>
      </c>
      <c r="L291" s="431">
        <v>4.8</v>
      </c>
      <c r="M291" s="431">
        <v>5.0599999999999996</v>
      </c>
      <c r="N291" s="431">
        <v>5.45</v>
      </c>
      <c r="O291" s="431">
        <v>5.13</v>
      </c>
      <c r="P291" s="431">
        <v>4.6900000000000004</v>
      </c>
      <c r="Q291" s="179">
        <f t="shared" si="7"/>
        <v>5.3233333333333333</v>
      </c>
      <c r="R291" s="179" t="s">
        <v>993</v>
      </c>
    </row>
    <row r="292" spans="1:18" x14ac:dyDescent="0.15">
      <c r="A292" s="179" t="str">
        <f t="shared" si="6"/>
        <v>Chihuahua_Optimal Year Round_135</v>
      </c>
      <c r="B292" s="501" t="s">
        <v>625</v>
      </c>
      <c r="C292" s="429">
        <v>29</v>
      </c>
      <c r="D292" s="429">
        <v>135</v>
      </c>
      <c r="E292" s="431">
        <v>5.28</v>
      </c>
      <c r="F292" s="431">
        <v>6</v>
      </c>
      <c r="G292" s="431">
        <v>6.82</v>
      </c>
      <c r="H292" s="431">
        <v>6.72</v>
      </c>
      <c r="I292" s="431">
        <v>6.43</v>
      </c>
      <c r="J292" s="431">
        <v>5.65</v>
      </c>
      <c r="K292" s="431">
        <v>5.17</v>
      </c>
      <c r="L292" s="431">
        <v>5.22</v>
      </c>
      <c r="M292" s="431">
        <v>5.49</v>
      </c>
      <c r="N292" s="431">
        <v>5.92</v>
      </c>
      <c r="O292" s="431">
        <v>5.57</v>
      </c>
      <c r="P292" s="431">
        <v>5.09</v>
      </c>
      <c r="Q292" s="179">
        <f t="shared" si="7"/>
        <v>5.7800000000000011</v>
      </c>
      <c r="R292" s="179" t="s">
        <v>993</v>
      </c>
    </row>
    <row r="293" spans="1:18" x14ac:dyDescent="0.15">
      <c r="A293" s="179" t="str">
        <f t="shared" si="6"/>
        <v>Chihuahua_Optimal Year Round_157.5</v>
      </c>
      <c r="B293" s="501" t="s">
        <v>625</v>
      </c>
      <c r="C293" s="429">
        <v>29</v>
      </c>
      <c r="D293" s="429">
        <v>157.5</v>
      </c>
      <c r="E293" s="431">
        <v>5.42</v>
      </c>
      <c r="F293" s="431">
        <v>6.16</v>
      </c>
      <c r="G293" s="431">
        <v>7</v>
      </c>
      <c r="H293" s="431">
        <v>6.89</v>
      </c>
      <c r="I293" s="431">
        <v>6.6</v>
      </c>
      <c r="J293" s="431">
        <v>5.8</v>
      </c>
      <c r="K293" s="431">
        <v>5.3</v>
      </c>
      <c r="L293" s="431">
        <v>5.35</v>
      </c>
      <c r="M293" s="431">
        <v>5.64</v>
      </c>
      <c r="N293" s="431">
        <v>6.07</v>
      </c>
      <c r="O293" s="431">
        <v>5.71</v>
      </c>
      <c r="P293" s="431">
        <v>5.23</v>
      </c>
      <c r="Q293" s="179">
        <f t="shared" si="7"/>
        <v>5.9308333333333332</v>
      </c>
      <c r="R293" s="179" t="s">
        <v>993</v>
      </c>
    </row>
    <row r="294" spans="1:18" x14ac:dyDescent="0.15">
      <c r="A294" s="179" t="str">
        <f t="shared" si="6"/>
        <v>Chihuahua_Optimal Year Round_180</v>
      </c>
      <c r="B294" s="501" t="s">
        <v>625</v>
      </c>
      <c r="C294" s="429">
        <v>29</v>
      </c>
      <c r="D294" s="429">
        <v>180</v>
      </c>
      <c r="E294" s="431">
        <v>5.56</v>
      </c>
      <c r="F294" s="431">
        <v>6.32</v>
      </c>
      <c r="G294" s="431">
        <v>7.18</v>
      </c>
      <c r="H294" s="431">
        <v>7.07</v>
      </c>
      <c r="I294" s="431">
        <v>6.77</v>
      </c>
      <c r="J294" s="431">
        <v>5.95</v>
      </c>
      <c r="K294" s="431">
        <v>5.44</v>
      </c>
      <c r="L294" s="431">
        <v>5.49</v>
      </c>
      <c r="M294" s="431">
        <v>5.78</v>
      </c>
      <c r="N294" s="431">
        <v>6.23</v>
      </c>
      <c r="O294" s="431">
        <v>5.86</v>
      </c>
      <c r="P294" s="431">
        <v>5.36</v>
      </c>
      <c r="Q294" s="179">
        <f t="shared" si="7"/>
        <v>6.0841666666666674</v>
      </c>
      <c r="R294" s="179" t="s">
        <v>993</v>
      </c>
    </row>
    <row r="295" spans="1:18" x14ac:dyDescent="0.15">
      <c r="A295" s="179" t="str">
        <f t="shared" si="6"/>
        <v>Chihuahua_Optimal Year Round_202.5</v>
      </c>
      <c r="B295" s="501" t="s">
        <v>625</v>
      </c>
      <c r="C295" s="429">
        <v>29</v>
      </c>
      <c r="D295" s="429">
        <v>202.5</v>
      </c>
      <c r="E295" s="431">
        <v>5.42</v>
      </c>
      <c r="F295" s="431">
        <v>6.16</v>
      </c>
      <c r="G295" s="431">
        <v>7</v>
      </c>
      <c r="H295" s="431">
        <v>6.89</v>
      </c>
      <c r="I295" s="431">
        <v>6.6</v>
      </c>
      <c r="J295" s="431">
        <v>5.8</v>
      </c>
      <c r="K295" s="431">
        <v>5.3</v>
      </c>
      <c r="L295" s="431">
        <v>5.35</v>
      </c>
      <c r="M295" s="431">
        <v>5.64</v>
      </c>
      <c r="N295" s="431">
        <v>6.07</v>
      </c>
      <c r="O295" s="431">
        <v>5.71</v>
      </c>
      <c r="P295" s="431">
        <v>5.23</v>
      </c>
      <c r="Q295" s="179">
        <f t="shared" si="7"/>
        <v>5.9308333333333332</v>
      </c>
      <c r="R295" s="179" t="s">
        <v>993</v>
      </c>
    </row>
    <row r="296" spans="1:18" x14ac:dyDescent="0.15">
      <c r="A296" s="179" t="str">
        <f t="shared" si="6"/>
        <v>Chihuahua_Optimal Year Round_225</v>
      </c>
      <c r="B296" s="501" t="s">
        <v>625</v>
      </c>
      <c r="C296" s="429">
        <v>29</v>
      </c>
      <c r="D296" s="429">
        <v>225</v>
      </c>
      <c r="E296" s="431">
        <v>5.28</v>
      </c>
      <c r="F296" s="431">
        <v>6</v>
      </c>
      <c r="G296" s="431">
        <v>6.82</v>
      </c>
      <c r="H296" s="431">
        <v>6.72</v>
      </c>
      <c r="I296" s="431">
        <v>6.43</v>
      </c>
      <c r="J296" s="431">
        <v>5.65</v>
      </c>
      <c r="K296" s="431">
        <v>5.17</v>
      </c>
      <c r="L296" s="431">
        <v>5.22</v>
      </c>
      <c r="M296" s="431">
        <v>5.49</v>
      </c>
      <c r="N296" s="431">
        <v>5.92</v>
      </c>
      <c r="O296" s="431">
        <v>5.57</v>
      </c>
      <c r="P296" s="431">
        <v>5.09</v>
      </c>
      <c r="Q296" s="179">
        <f t="shared" si="7"/>
        <v>5.7800000000000011</v>
      </c>
      <c r="R296" s="179" t="s">
        <v>993</v>
      </c>
    </row>
    <row r="297" spans="1:18" x14ac:dyDescent="0.15">
      <c r="A297" s="179" t="str">
        <f t="shared" si="6"/>
        <v>Chihuahua_Optimal Year Round_247.5</v>
      </c>
      <c r="B297" s="501" t="s">
        <v>625</v>
      </c>
      <c r="C297" s="429">
        <v>29</v>
      </c>
      <c r="D297" s="429">
        <v>247.5</v>
      </c>
      <c r="E297" s="431">
        <v>4.8600000000000003</v>
      </c>
      <c r="F297" s="431">
        <v>5.53</v>
      </c>
      <c r="G297" s="431">
        <v>6.28</v>
      </c>
      <c r="H297" s="431">
        <v>6.19</v>
      </c>
      <c r="I297" s="431">
        <v>5.92</v>
      </c>
      <c r="J297" s="431">
        <v>5.21</v>
      </c>
      <c r="K297" s="431">
        <v>4.76</v>
      </c>
      <c r="L297" s="431">
        <v>4.8</v>
      </c>
      <c r="M297" s="431">
        <v>5.0599999999999996</v>
      </c>
      <c r="N297" s="431">
        <v>5.45</v>
      </c>
      <c r="O297" s="431">
        <v>5.13</v>
      </c>
      <c r="P297" s="431">
        <v>4.6900000000000004</v>
      </c>
      <c r="Q297" s="179">
        <f t="shared" si="7"/>
        <v>5.3233333333333333</v>
      </c>
      <c r="R297" s="179" t="s">
        <v>993</v>
      </c>
    </row>
    <row r="298" spans="1:18" x14ac:dyDescent="0.15">
      <c r="A298" s="179" t="str">
        <f t="shared" si="6"/>
        <v>Chihuahua_Optimal Year Round_270</v>
      </c>
      <c r="B298" s="501" t="s">
        <v>625</v>
      </c>
      <c r="C298" s="429">
        <v>29</v>
      </c>
      <c r="D298" s="429">
        <v>270</v>
      </c>
      <c r="E298" s="431">
        <v>4.45</v>
      </c>
      <c r="F298" s="431">
        <v>5.0599999999999996</v>
      </c>
      <c r="G298" s="431">
        <v>5.74</v>
      </c>
      <c r="H298" s="431">
        <v>5.66</v>
      </c>
      <c r="I298" s="431">
        <v>5.42</v>
      </c>
      <c r="J298" s="431">
        <v>4.76</v>
      </c>
      <c r="K298" s="431">
        <v>4.3499999999999996</v>
      </c>
      <c r="L298" s="431">
        <v>4.3899999999999997</v>
      </c>
      <c r="M298" s="431">
        <v>4.62</v>
      </c>
      <c r="N298" s="431">
        <v>4.9800000000000004</v>
      </c>
      <c r="O298" s="431">
        <v>4.6900000000000004</v>
      </c>
      <c r="P298" s="431">
        <v>4.29</v>
      </c>
      <c r="Q298" s="179">
        <f t="shared" si="7"/>
        <v>4.8674999999999988</v>
      </c>
      <c r="R298" s="179" t="s">
        <v>993</v>
      </c>
    </row>
    <row r="299" spans="1:18" x14ac:dyDescent="0.15">
      <c r="A299" s="179" t="str">
        <f t="shared" si="6"/>
        <v>Ciudad Juarez_Flat Surface_90</v>
      </c>
      <c r="B299" s="501" t="s">
        <v>1123</v>
      </c>
      <c r="C299" s="429">
        <v>0</v>
      </c>
      <c r="D299" s="429">
        <v>90</v>
      </c>
      <c r="E299" s="431">
        <v>3.39</v>
      </c>
      <c r="F299" s="431">
        <v>4.2</v>
      </c>
      <c r="G299" s="431">
        <v>5.55</v>
      </c>
      <c r="H299" s="431">
        <v>6.52</v>
      </c>
      <c r="I299" s="431">
        <v>7.26</v>
      </c>
      <c r="J299" s="431">
        <v>7.36</v>
      </c>
      <c r="K299" s="431">
        <v>6.71</v>
      </c>
      <c r="L299" s="431">
        <v>6.03</v>
      </c>
      <c r="M299" s="431">
        <v>5.2</v>
      </c>
      <c r="N299" s="431">
        <v>4.43</v>
      </c>
      <c r="O299" s="431">
        <v>3.61</v>
      </c>
      <c r="P299" s="431">
        <v>3.07</v>
      </c>
      <c r="Q299" s="179">
        <f t="shared" si="7"/>
        <v>5.2775000000000007</v>
      </c>
      <c r="R299" s="179" t="s">
        <v>994</v>
      </c>
    </row>
    <row r="300" spans="1:18" x14ac:dyDescent="0.15">
      <c r="A300" s="179" t="str">
        <f t="shared" si="6"/>
        <v>Ciudad Juarez_Flat Surface_112.5</v>
      </c>
      <c r="B300" s="501" t="s">
        <v>1123</v>
      </c>
      <c r="C300" s="429">
        <v>0</v>
      </c>
      <c r="D300" s="429">
        <v>112.5</v>
      </c>
      <c r="E300" s="431">
        <v>3.39</v>
      </c>
      <c r="F300" s="431">
        <v>4.2</v>
      </c>
      <c r="G300" s="431">
        <v>5.55</v>
      </c>
      <c r="H300" s="431">
        <v>6.52</v>
      </c>
      <c r="I300" s="431">
        <v>7.26</v>
      </c>
      <c r="J300" s="431">
        <v>7.36</v>
      </c>
      <c r="K300" s="431">
        <v>6.71</v>
      </c>
      <c r="L300" s="431">
        <v>6.03</v>
      </c>
      <c r="M300" s="431">
        <v>5.2</v>
      </c>
      <c r="N300" s="431">
        <v>4.43</v>
      </c>
      <c r="O300" s="431">
        <v>3.61</v>
      </c>
      <c r="P300" s="431">
        <v>3.07</v>
      </c>
      <c r="Q300" s="179">
        <f t="shared" si="7"/>
        <v>5.2775000000000007</v>
      </c>
      <c r="R300" s="179" t="s">
        <v>994</v>
      </c>
    </row>
    <row r="301" spans="1:18" x14ac:dyDescent="0.15">
      <c r="A301" s="179" t="str">
        <f t="shared" si="6"/>
        <v>Ciudad Juarez_Flat Surface_135</v>
      </c>
      <c r="B301" s="501" t="s">
        <v>1123</v>
      </c>
      <c r="C301" s="429">
        <v>0</v>
      </c>
      <c r="D301" s="429">
        <v>135</v>
      </c>
      <c r="E301" s="431">
        <v>3.39</v>
      </c>
      <c r="F301" s="431">
        <v>4.2</v>
      </c>
      <c r="G301" s="431">
        <v>5.55</v>
      </c>
      <c r="H301" s="431">
        <v>6.52</v>
      </c>
      <c r="I301" s="431">
        <v>7.26</v>
      </c>
      <c r="J301" s="431">
        <v>7.36</v>
      </c>
      <c r="K301" s="431">
        <v>6.71</v>
      </c>
      <c r="L301" s="431">
        <v>6.03</v>
      </c>
      <c r="M301" s="431">
        <v>5.2</v>
      </c>
      <c r="N301" s="431">
        <v>4.43</v>
      </c>
      <c r="O301" s="431">
        <v>3.61</v>
      </c>
      <c r="P301" s="431">
        <v>3.07</v>
      </c>
      <c r="Q301" s="179">
        <f t="shared" si="7"/>
        <v>5.2775000000000007</v>
      </c>
      <c r="R301" s="179" t="s">
        <v>994</v>
      </c>
    </row>
    <row r="302" spans="1:18" x14ac:dyDescent="0.15">
      <c r="A302" s="179" t="str">
        <f t="shared" si="6"/>
        <v>Ciudad Juarez_Flat Surface_157.5</v>
      </c>
      <c r="B302" s="501" t="s">
        <v>1123</v>
      </c>
      <c r="C302" s="429">
        <v>0</v>
      </c>
      <c r="D302" s="429">
        <v>157.5</v>
      </c>
      <c r="E302" s="431">
        <v>3.39</v>
      </c>
      <c r="F302" s="431">
        <v>4.2</v>
      </c>
      <c r="G302" s="431">
        <v>5.55</v>
      </c>
      <c r="H302" s="431">
        <v>6.52</v>
      </c>
      <c r="I302" s="431">
        <v>7.26</v>
      </c>
      <c r="J302" s="431">
        <v>7.36</v>
      </c>
      <c r="K302" s="431">
        <v>6.71</v>
      </c>
      <c r="L302" s="431">
        <v>6.03</v>
      </c>
      <c r="M302" s="431">
        <v>5.2</v>
      </c>
      <c r="N302" s="431">
        <v>4.43</v>
      </c>
      <c r="O302" s="431">
        <v>3.61</v>
      </c>
      <c r="P302" s="431">
        <v>3.07</v>
      </c>
      <c r="Q302" s="179">
        <f t="shared" si="7"/>
        <v>5.2775000000000007</v>
      </c>
      <c r="R302" s="179" t="s">
        <v>994</v>
      </c>
    </row>
    <row r="303" spans="1:18" x14ac:dyDescent="0.15">
      <c r="A303" s="179" t="str">
        <f t="shared" si="6"/>
        <v>Ciudad Juarez_Flat Surface_180</v>
      </c>
      <c r="B303" s="501" t="s">
        <v>1123</v>
      </c>
      <c r="C303" s="429">
        <v>0</v>
      </c>
      <c r="D303" s="429">
        <v>180</v>
      </c>
      <c r="E303" s="431">
        <v>3.39</v>
      </c>
      <c r="F303" s="431">
        <v>4.2</v>
      </c>
      <c r="G303" s="431">
        <v>5.55</v>
      </c>
      <c r="H303" s="431">
        <v>6.52</v>
      </c>
      <c r="I303" s="431">
        <v>7.26</v>
      </c>
      <c r="J303" s="431">
        <v>7.36</v>
      </c>
      <c r="K303" s="431">
        <v>6.71</v>
      </c>
      <c r="L303" s="431">
        <v>6.03</v>
      </c>
      <c r="M303" s="431">
        <v>5.2</v>
      </c>
      <c r="N303" s="431">
        <v>4.43</v>
      </c>
      <c r="O303" s="431">
        <v>3.61</v>
      </c>
      <c r="P303" s="431">
        <v>3.07</v>
      </c>
      <c r="Q303" s="179">
        <f t="shared" si="7"/>
        <v>5.2775000000000007</v>
      </c>
      <c r="R303" s="179" t="s">
        <v>994</v>
      </c>
    </row>
    <row r="304" spans="1:18" x14ac:dyDescent="0.15">
      <c r="A304" s="179" t="str">
        <f t="shared" si="6"/>
        <v>Ciudad Juarez_Flat Surface_202.5</v>
      </c>
      <c r="B304" s="501" t="s">
        <v>1123</v>
      </c>
      <c r="C304" s="429">
        <v>0</v>
      </c>
      <c r="D304" s="429">
        <v>202.5</v>
      </c>
      <c r="E304" s="431">
        <v>3.39</v>
      </c>
      <c r="F304" s="431">
        <v>4.2</v>
      </c>
      <c r="G304" s="431">
        <v>5.55</v>
      </c>
      <c r="H304" s="431">
        <v>6.52</v>
      </c>
      <c r="I304" s="431">
        <v>7.26</v>
      </c>
      <c r="J304" s="431">
        <v>7.36</v>
      </c>
      <c r="K304" s="431">
        <v>6.71</v>
      </c>
      <c r="L304" s="431">
        <v>6.03</v>
      </c>
      <c r="M304" s="431">
        <v>5.2</v>
      </c>
      <c r="N304" s="431">
        <v>4.43</v>
      </c>
      <c r="O304" s="431">
        <v>3.61</v>
      </c>
      <c r="P304" s="431">
        <v>3.07</v>
      </c>
      <c r="Q304" s="179">
        <f t="shared" si="7"/>
        <v>5.2775000000000007</v>
      </c>
      <c r="R304" s="179" t="s">
        <v>994</v>
      </c>
    </row>
    <row r="305" spans="1:18" x14ac:dyDescent="0.15">
      <c r="A305" s="179" t="str">
        <f t="shared" si="6"/>
        <v>Ciudad Juarez_Flat Surface_225</v>
      </c>
      <c r="B305" s="501" t="s">
        <v>1123</v>
      </c>
      <c r="C305" s="429">
        <v>0</v>
      </c>
      <c r="D305" s="429">
        <v>225</v>
      </c>
      <c r="E305" s="431">
        <v>3.39</v>
      </c>
      <c r="F305" s="431">
        <v>4.2</v>
      </c>
      <c r="G305" s="431">
        <v>5.55</v>
      </c>
      <c r="H305" s="431">
        <v>6.52</v>
      </c>
      <c r="I305" s="431">
        <v>7.26</v>
      </c>
      <c r="J305" s="431">
        <v>7.36</v>
      </c>
      <c r="K305" s="431">
        <v>6.71</v>
      </c>
      <c r="L305" s="431">
        <v>6.03</v>
      </c>
      <c r="M305" s="431">
        <v>5.2</v>
      </c>
      <c r="N305" s="431">
        <v>4.43</v>
      </c>
      <c r="O305" s="431">
        <v>3.61</v>
      </c>
      <c r="P305" s="431">
        <v>3.07</v>
      </c>
      <c r="Q305" s="179">
        <f t="shared" si="7"/>
        <v>5.2775000000000007</v>
      </c>
      <c r="R305" s="179" t="s">
        <v>994</v>
      </c>
    </row>
    <row r="306" spans="1:18" x14ac:dyDescent="0.15">
      <c r="A306" s="179" t="str">
        <f t="shared" si="6"/>
        <v>Ciudad Juarez_Flat Surface_247.5</v>
      </c>
      <c r="B306" s="501" t="s">
        <v>1123</v>
      </c>
      <c r="C306" s="429">
        <v>0</v>
      </c>
      <c r="D306" s="429">
        <v>247.5</v>
      </c>
      <c r="E306" s="431">
        <v>3.39</v>
      </c>
      <c r="F306" s="431">
        <v>4.2</v>
      </c>
      <c r="G306" s="431">
        <v>5.55</v>
      </c>
      <c r="H306" s="431">
        <v>6.52</v>
      </c>
      <c r="I306" s="431">
        <v>7.26</v>
      </c>
      <c r="J306" s="431">
        <v>7.36</v>
      </c>
      <c r="K306" s="431">
        <v>6.71</v>
      </c>
      <c r="L306" s="431">
        <v>6.03</v>
      </c>
      <c r="M306" s="431">
        <v>5.2</v>
      </c>
      <c r="N306" s="431">
        <v>4.43</v>
      </c>
      <c r="O306" s="431">
        <v>3.61</v>
      </c>
      <c r="P306" s="431">
        <v>3.07</v>
      </c>
      <c r="Q306" s="179">
        <f t="shared" si="7"/>
        <v>5.2775000000000007</v>
      </c>
      <c r="R306" s="179" t="s">
        <v>994</v>
      </c>
    </row>
    <row r="307" spans="1:18" x14ac:dyDescent="0.15">
      <c r="A307" s="179" t="str">
        <f t="shared" si="6"/>
        <v>Ciudad Juarez_Flat Surface_270</v>
      </c>
      <c r="B307" s="501" t="s">
        <v>1123</v>
      </c>
      <c r="C307" s="429">
        <v>0</v>
      </c>
      <c r="D307" s="429">
        <v>270</v>
      </c>
      <c r="E307" s="431">
        <v>3.39</v>
      </c>
      <c r="F307" s="431">
        <v>4.2</v>
      </c>
      <c r="G307" s="431">
        <v>5.55</v>
      </c>
      <c r="H307" s="431">
        <v>6.52</v>
      </c>
      <c r="I307" s="431">
        <v>7.26</v>
      </c>
      <c r="J307" s="431">
        <v>7.36</v>
      </c>
      <c r="K307" s="431">
        <v>6.71</v>
      </c>
      <c r="L307" s="431">
        <v>6.03</v>
      </c>
      <c r="M307" s="431">
        <v>5.2</v>
      </c>
      <c r="N307" s="431">
        <v>4.43</v>
      </c>
      <c r="O307" s="431">
        <v>3.61</v>
      </c>
      <c r="P307" s="431">
        <v>3.07</v>
      </c>
      <c r="Q307" s="179">
        <f t="shared" si="7"/>
        <v>5.2775000000000007</v>
      </c>
      <c r="R307" s="179" t="s">
        <v>994</v>
      </c>
    </row>
    <row r="308" spans="1:18" x14ac:dyDescent="0.15">
      <c r="A308" s="179" t="str">
        <f t="shared" si="6"/>
        <v>Ciudad Juarez_Optimal Summer_90</v>
      </c>
      <c r="B308" s="501" t="s">
        <v>1123</v>
      </c>
      <c r="C308" s="429">
        <v>17</v>
      </c>
      <c r="D308" s="429">
        <v>90</v>
      </c>
      <c r="E308" s="431">
        <v>3.48</v>
      </c>
      <c r="F308" s="431">
        <v>4.03</v>
      </c>
      <c r="G308" s="431">
        <v>4.95</v>
      </c>
      <c r="H308" s="431">
        <v>5.43</v>
      </c>
      <c r="I308" s="431">
        <v>5.71</v>
      </c>
      <c r="J308" s="431">
        <v>5.67</v>
      </c>
      <c r="K308" s="431">
        <v>5.22</v>
      </c>
      <c r="L308" s="431">
        <v>4.87</v>
      </c>
      <c r="M308" s="431">
        <v>4.46</v>
      </c>
      <c r="N308" s="431">
        <v>4.13</v>
      </c>
      <c r="O308" s="431">
        <v>3.63</v>
      </c>
      <c r="P308" s="431">
        <v>3.21</v>
      </c>
      <c r="Q308" s="179">
        <f t="shared" si="7"/>
        <v>4.5658333333333339</v>
      </c>
      <c r="R308" s="179" t="s">
        <v>958</v>
      </c>
    </row>
    <row r="309" spans="1:18" x14ac:dyDescent="0.15">
      <c r="A309" s="179" t="str">
        <f t="shared" si="6"/>
        <v>Ciudad Juarez_Optimal Summer_112.5</v>
      </c>
      <c r="B309" s="501" t="s">
        <v>1123</v>
      </c>
      <c r="C309" s="429">
        <v>17</v>
      </c>
      <c r="D309" s="429">
        <v>112.5</v>
      </c>
      <c r="E309" s="431">
        <v>3.81</v>
      </c>
      <c r="F309" s="431">
        <v>4.41</v>
      </c>
      <c r="G309" s="431">
        <v>5.42</v>
      </c>
      <c r="H309" s="431">
        <v>5.94</v>
      </c>
      <c r="I309" s="431">
        <v>6.25</v>
      </c>
      <c r="J309" s="431">
        <v>6.2</v>
      </c>
      <c r="K309" s="431">
        <v>5.71</v>
      </c>
      <c r="L309" s="431">
        <v>5.33</v>
      </c>
      <c r="M309" s="431">
        <v>4.88</v>
      </c>
      <c r="N309" s="431">
        <v>4.5199999999999996</v>
      </c>
      <c r="O309" s="431">
        <v>3.97</v>
      </c>
      <c r="P309" s="431">
        <v>3.51</v>
      </c>
      <c r="Q309" s="179">
        <f t="shared" si="7"/>
        <v>4.9958333333333327</v>
      </c>
      <c r="R309" s="179" t="s">
        <v>958</v>
      </c>
    </row>
    <row r="310" spans="1:18" x14ac:dyDescent="0.15">
      <c r="A310" s="179" t="str">
        <f t="shared" si="6"/>
        <v>Ciudad Juarez_Optimal Summer_135</v>
      </c>
      <c r="B310" s="501" t="s">
        <v>1123</v>
      </c>
      <c r="C310" s="429">
        <v>17</v>
      </c>
      <c r="D310" s="429">
        <v>135</v>
      </c>
      <c r="E310" s="431">
        <v>4.13</v>
      </c>
      <c r="F310" s="431">
        <v>4.79</v>
      </c>
      <c r="G310" s="431">
        <v>5.88</v>
      </c>
      <c r="H310" s="431">
        <v>6.45</v>
      </c>
      <c r="I310" s="431">
        <v>6.78</v>
      </c>
      <c r="J310" s="431">
        <v>6.74</v>
      </c>
      <c r="K310" s="431">
        <v>6.2</v>
      </c>
      <c r="L310" s="431">
        <v>5.79</v>
      </c>
      <c r="M310" s="431">
        <v>5.3</v>
      </c>
      <c r="N310" s="431">
        <v>4.9000000000000004</v>
      </c>
      <c r="O310" s="431">
        <v>4.3099999999999996</v>
      </c>
      <c r="P310" s="431">
        <v>3.81</v>
      </c>
      <c r="Q310" s="179">
        <f t="shared" si="7"/>
        <v>5.4233333333333329</v>
      </c>
      <c r="R310" s="179" t="s">
        <v>958</v>
      </c>
    </row>
    <row r="311" spans="1:18" x14ac:dyDescent="0.15">
      <c r="A311" s="179" t="str">
        <f t="shared" si="6"/>
        <v>Ciudad Juarez_Optimal Summer_157.5</v>
      </c>
      <c r="B311" s="501" t="s">
        <v>1123</v>
      </c>
      <c r="C311" s="429">
        <v>17</v>
      </c>
      <c r="D311" s="429">
        <v>157.5</v>
      </c>
      <c r="E311" s="431">
        <v>4.24</v>
      </c>
      <c r="F311" s="431">
        <v>4.91</v>
      </c>
      <c r="G311" s="431">
        <v>6.04</v>
      </c>
      <c r="H311" s="431">
        <v>6.62</v>
      </c>
      <c r="I311" s="431">
        <v>6.96</v>
      </c>
      <c r="J311" s="431">
        <v>6.91</v>
      </c>
      <c r="K311" s="431">
        <v>6.37</v>
      </c>
      <c r="L311" s="431">
        <v>5.94</v>
      </c>
      <c r="M311" s="431">
        <v>5.44</v>
      </c>
      <c r="N311" s="431">
        <v>5.03</v>
      </c>
      <c r="O311" s="431">
        <v>4.43</v>
      </c>
      <c r="P311" s="431">
        <v>3.91</v>
      </c>
      <c r="Q311" s="179">
        <f t="shared" si="7"/>
        <v>5.5666666666666664</v>
      </c>
      <c r="R311" s="179" t="s">
        <v>958</v>
      </c>
    </row>
    <row r="312" spans="1:18" x14ac:dyDescent="0.15">
      <c r="A312" s="179" t="str">
        <f t="shared" si="6"/>
        <v>Ciudad Juarez_Optimal Summer_180</v>
      </c>
      <c r="B312" s="501" t="s">
        <v>1123</v>
      </c>
      <c r="C312" s="429">
        <v>17</v>
      </c>
      <c r="D312" s="429">
        <v>180</v>
      </c>
      <c r="E312" s="431">
        <v>4.3499999999999996</v>
      </c>
      <c r="F312" s="431">
        <v>5.04</v>
      </c>
      <c r="G312" s="431">
        <v>6.19</v>
      </c>
      <c r="H312" s="431">
        <v>6.79</v>
      </c>
      <c r="I312" s="431">
        <v>7.14</v>
      </c>
      <c r="J312" s="431">
        <v>7.09</v>
      </c>
      <c r="K312" s="431">
        <v>6.53</v>
      </c>
      <c r="L312" s="431">
        <v>6.09</v>
      </c>
      <c r="M312" s="431">
        <v>5.58</v>
      </c>
      <c r="N312" s="431">
        <v>5.16</v>
      </c>
      <c r="O312" s="431">
        <v>4.54</v>
      </c>
      <c r="P312" s="431">
        <v>4.01</v>
      </c>
      <c r="Q312" s="179">
        <f t="shared" si="7"/>
        <v>5.7091666666666674</v>
      </c>
      <c r="R312" s="179" t="s">
        <v>958</v>
      </c>
    </row>
    <row r="313" spans="1:18" x14ac:dyDescent="0.15">
      <c r="A313" s="179" t="str">
        <f t="shared" si="6"/>
        <v>Ciudad Juarez_Optimal Summer_202.5</v>
      </c>
      <c r="B313" s="501" t="s">
        <v>1123</v>
      </c>
      <c r="C313" s="429">
        <v>17</v>
      </c>
      <c r="D313" s="429">
        <v>202.5</v>
      </c>
      <c r="E313" s="431">
        <v>4.24</v>
      </c>
      <c r="F313" s="431">
        <v>4.91</v>
      </c>
      <c r="G313" s="431">
        <v>6.04</v>
      </c>
      <c r="H313" s="431">
        <v>6.62</v>
      </c>
      <c r="I313" s="431">
        <v>6.96</v>
      </c>
      <c r="J313" s="431">
        <v>6.91</v>
      </c>
      <c r="K313" s="431">
        <v>6.37</v>
      </c>
      <c r="L313" s="431">
        <v>5.94</v>
      </c>
      <c r="M313" s="431">
        <v>5.44</v>
      </c>
      <c r="N313" s="431">
        <v>5.03</v>
      </c>
      <c r="O313" s="431">
        <v>4.43</v>
      </c>
      <c r="P313" s="431">
        <v>3.91</v>
      </c>
      <c r="Q313" s="179">
        <f t="shared" si="7"/>
        <v>5.5666666666666664</v>
      </c>
      <c r="R313" s="179" t="s">
        <v>958</v>
      </c>
    </row>
    <row r="314" spans="1:18" x14ac:dyDescent="0.15">
      <c r="A314" s="179" t="str">
        <f t="shared" si="6"/>
        <v>Ciudad Juarez_Optimal Summer_225</v>
      </c>
      <c r="B314" s="501" t="s">
        <v>1123</v>
      </c>
      <c r="C314" s="429">
        <v>17</v>
      </c>
      <c r="D314" s="429">
        <v>225</v>
      </c>
      <c r="E314" s="431">
        <v>4.13</v>
      </c>
      <c r="F314" s="431">
        <v>4.79</v>
      </c>
      <c r="G314" s="431">
        <v>5.88</v>
      </c>
      <c r="H314" s="431">
        <v>6.45</v>
      </c>
      <c r="I314" s="431">
        <v>6.78</v>
      </c>
      <c r="J314" s="431">
        <v>6.74</v>
      </c>
      <c r="K314" s="431">
        <v>6.2</v>
      </c>
      <c r="L314" s="431">
        <v>5.79</v>
      </c>
      <c r="M314" s="431">
        <v>5.3</v>
      </c>
      <c r="N314" s="431">
        <v>4.9000000000000004</v>
      </c>
      <c r="O314" s="431">
        <v>4.3099999999999996</v>
      </c>
      <c r="P314" s="431">
        <v>3.81</v>
      </c>
      <c r="Q314" s="179">
        <f t="shared" si="7"/>
        <v>5.4233333333333329</v>
      </c>
      <c r="R314" s="179" t="s">
        <v>958</v>
      </c>
    </row>
    <row r="315" spans="1:18" x14ac:dyDescent="0.15">
      <c r="A315" s="179" t="str">
        <f t="shared" si="6"/>
        <v>Ciudad Juarez_Optimal Summer_247.5</v>
      </c>
      <c r="B315" s="501" t="s">
        <v>1123</v>
      </c>
      <c r="C315" s="429">
        <v>17</v>
      </c>
      <c r="D315" s="429">
        <v>247.5</v>
      </c>
      <c r="E315" s="431">
        <v>3.81</v>
      </c>
      <c r="F315" s="431">
        <v>4.41</v>
      </c>
      <c r="G315" s="431">
        <v>5.42</v>
      </c>
      <c r="H315" s="431">
        <v>5.94</v>
      </c>
      <c r="I315" s="431">
        <v>6.25</v>
      </c>
      <c r="J315" s="431">
        <v>6.2</v>
      </c>
      <c r="K315" s="431">
        <v>5.71</v>
      </c>
      <c r="L315" s="431">
        <v>5.33</v>
      </c>
      <c r="M315" s="431">
        <v>4.88</v>
      </c>
      <c r="N315" s="431">
        <v>4.5199999999999996</v>
      </c>
      <c r="O315" s="431">
        <v>3.97</v>
      </c>
      <c r="P315" s="431">
        <v>3.51</v>
      </c>
      <c r="Q315" s="179">
        <f t="shared" si="7"/>
        <v>4.9958333333333327</v>
      </c>
      <c r="R315" s="179" t="s">
        <v>958</v>
      </c>
    </row>
    <row r="316" spans="1:18" x14ac:dyDescent="0.15">
      <c r="A316" s="179" t="str">
        <f t="shared" si="6"/>
        <v>Ciudad Juarez_Optimal Summer_270</v>
      </c>
      <c r="B316" s="501" t="s">
        <v>1123</v>
      </c>
      <c r="C316" s="429">
        <v>17</v>
      </c>
      <c r="D316" s="429">
        <v>270</v>
      </c>
      <c r="E316" s="431">
        <v>3.48</v>
      </c>
      <c r="F316" s="431">
        <v>4.03</v>
      </c>
      <c r="G316" s="431">
        <v>4.95</v>
      </c>
      <c r="H316" s="431">
        <v>5.43</v>
      </c>
      <c r="I316" s="431">
        <v>5.71</v>
      </c>
      <c r="J316" s="431">
        <v>5.67</v>
      </c>
      <c r="K316" s="431">
        <v>5.22</v>
      </c>
      <c r="L316" s="431">
        <v>4.87</v>
      </c>
      <c r="M316" s="431">
        <v>4.46</v>
      </c>
      <c r="N316" s="431">
        <v>4.13</v>
      </c>
      <c r="O316" s="431">
        <v>3.63</v>
      </c>
      <c r="P316" s="431">
        <v>3.21</v>
      </c>
      <c r="Q316" s="179">
        <f t="shared" si="7"/>
        <v>4.5658333333333339</v>
      </c>
      <c r="R316" s="179" t="s">
        <v>958</v>
      </c>
    </row>
    <row r="317" spans="1:18" x14ac:dyDescent="0.15">
      <c r="A317" s="179" t="str">
        <f t="shared" si="6"/>
        <v>Ciudad Juarez_Optimal Year Round_90</v>
      </c>
      <c r="B317" s="501" t="s">
        <v>1123</v>
      </c>
      <c r="C317" s="429">
        <v>32</v>
      </c>
      <c r="D317" s="429">
        <v>90</v>
      </c>
      <c r="E317" s="431">
        <v>4</v>
      </c>
      <c r="F317" s="431">
        <v>4.43</v>
      </c>
      <c r="G317" s="431">
        <v>5.15</v>
      </c>
      <c r="H317" s="431">
        <v>5.33</v>
      </c>
      <c r="I317" s="431">
        <v>5.31</v>
      </c>
      <c r="J317" s="431">
        <v>5.17</v>
      </c>
      <c r="K317" s="431">
        <v>4.82</v>
      </c>
      <c r="L317" s="431">
        <v>4.66</v>
      </c>
      <c r="M317" s="431">
        <v>4.51</v>
      </c>
      <c r="N317" s="431">
        <v>4.4400000000000004</v>
      </c>
      <c r="O317" s="431">
        <v>4.13</v>
      </c>
      <c r="P317" s="431">
        <v>3.74</v>
      </c>
      <c r="Q317" s="179">
        <f t="shared" si="7"/>
        <v>4.640833333333334</v>
      </c>
      <c r="R317" s="179" t="s">
        <v>993</v>
      </c>
    </row>
    <row r="318" spans="1:18" x14ac:dyDescent="0.15">
      <c r="A318" s="179" t="str">
        <f t="shared" si="6"/>
        <v>Ciudad Juarez_Optimal Year Round_112.5</v>
      </c>
      <c r="B318" s="501" t="s">
        <v>1123</v>
      </c>
      <c r="C318" s="429">
        <v>32</v>
      </c>
      <c r="D318" s="429">
        <v>112.5</v>
      </c>
      <c r="E318" s="431">
        <v>4.38</v>
      </c>
      <c r="F318" s="431">
        <v>4.8499999999999996</v>
      </c>
      <c r="G318" s="431">
        <v>5.64</v>
      </c>
      <c r="H318" s="431">
        <v>5.83</v>
      </c>
      <c r="I318" s="431">
        <v>5.81</v>
      </c>
      <c r="J318" s="431">
        <v>5.65</v>
      </c>
      <c r="K318" s="431">
        <v>5.28</v>
      </c>
      <c r="L318" s="431">
        <v>5.0999999999999996</v>
      </c>
      <c r="M318" s="431">
        <v>4.9400000000000004</v>
      </c>
      <c r="N318" s="431">
        <v>4.8600000000000003</v>
      </c>
      <c r="O318" s="431">
        <v>4.5199999999999996</v>
      </c>
      <c r="P318" s="431">
        <v>4.09</v>
      </c>
      <c r="Q318" s="179">
        <f t="shared" si="7"/>
        <v>5.0791666666666666</v>
      </c>
      <c r="R318" s="179" t="s">
        <v>993</v>
      </c>
    </row>
    <row r="319" spans="1:18" x14ac:dyDescent="0.15">
      <c r="A319" s="179" t="str">
        <f t="shared" si="6"/>
        <v>Ciudad Juarez_Optimal Year Round_135</v>
      </c>
      <c r="B319" s="501" t="s">
        <v>1123</v>
      </c>
      <c r="C319" s="429">
        <v>32</v>
      </c>
      <c r="D319" s="429">
        <v>135</v>
      </c>
      <c r="E319" s="431">
        <v>4.75</v>
      </c>
      <c r="F319" s="431">
        <v>5.26</v>
      </c>
      <c r="G319" s="431">
        <v>6.12</v>
      </c>
      <c r="H319" s="431">
        <v>6.33</v>
      </c>
      <c r="I319" s="431">
        <v>6.31</v>
      </c>
      <c r="J319" s="431">
        <v>6.14</v>
      </c>
      <c r="K319" s="431">
        <v>5.73</v>
      </c>
      <c r="L319" s="431">
        <v>5.54</v>
      </c>
      <c r="M319" s="431">
        <v>5.36</v>
      </c>
      <c r="N319" s="431">
        <v>5.27</v>
      </c>
      <c r="O319" s="431">
        <v>4.9000000000000004</v>
      </c>
      <c r="P319" s="431">
        <v>4.4400000000000004</v>
      </c>
      <c r="Q319" s="179">
        <f t="shared" si="7"/>
        <v>5.5125000000000002</v>
      </c>
      <c r="R319" s="179" t="s">
        <v>993</v>
      </c>
    </row>
    <row r="320" spans="1:18" x14ac:dyDescent="0.15">
      <c r="A320" s="179" t="str">
        <f t="shared" si="6"/>
        <v>Ciudad Juarez_Optimal Year Round_157.5</v>
      </c>
      <c r="B320" s="501" t="s">
        <v>1123</v>
      </c>
      <c r="C320" s="429">
        <v>32</v>
      </c>
      <c r="D320" s="429">
        <v>157.5</v>
      </c>
      <c r="E320" s="431">
        <v>4.88</v>
      </c>
      <c r="F320" s="431">
        <v>5.4</v>
      </c>
      <c r="G320" s="431">
        <v>6.28</v>
      </c>
      <c r="H320" s="431">
        <v>6.49</v>
      </c>
      <c r="I320" s="431">
        <v>6.47</v>
      </c>
      <c r="J320" s="431">
        <v>6.3</v>
      </c>
      <c r="K320" s="431">
        <v>5.88</v>
      </c>
      <c r="L320" s="431">
        <v>5.68</v>
      </c>
      <c r="M320" s="431">
        <v>5.5</v>
      </c>
      <c r="N320" s="431">
        <v>5.41</v>
      </c>
      <c r="O320" s="431">
        <v>5.03</v>
      </c>
      <c r="P320" s="431">
        <v>4.55</v>
      </c>
      <c r="Q320" s="179">
        <f t="shared" si="7"/>
        <v>5.6558333333333337</v>
      </c>
      <c r="R320" s="179" t="s">
        <v>993</v>
      </c>
    </row>
    <row r="321" spans="1:18" x14ac:dyDescent="0.15">
      <c r="A321" s="179" t="str">
        <f t="shared" si="6"/>
        <v>Ciudad Juarez_Optimal Year Round_180</v>
      </c>
      <c r="B321" s="501" t="s">
        <v>1123</v>
      </c>
      <c r="C321" s="429">
        <v>32</v>
      </c>
      <c r="D321" s="429">
        <v>180</v>
      </c>
      <c r="E321" s="431">
        <v>5</v>
      </c>
      <c r="F321" s="431">
        <v>5.54</v>
      </c>
      <c r="G321" s="431">
        <v>6.44</v>
      </c>
      <c r="H321" s="431">
        <v>6.66</v>
      </c>
      <c r="I321" s="431">
        <v>6.64</v>
      </c>
      <c r="J321" s="431">
        <v>6.46</v>
      </c>
      <c r="K321" s="431">
        <v>6.03</v>
      </c>
      <c r="L321" s="431">
        <v>5.83</v>
      </c>
      <c r="M321" s="431">
        <v>5.64</v>
      </c>
      <c r="N321" s="431">
        <v>5.55</v>
      </c>
      <c r="O321" s="431">
        <v>5.16</v>
      </c>
      <c r="P321" s="431">
        <v>4.67</v>
      </c>
      <c r="Q321" s="179">
        <f t="shared" si="7"/>
        <v>5.8016666666666667</v>
      </c>
      <c r="R321" s="179" t="s">
        <v>993</v>
      </c>
    </row>
    <row r="322" spans="1:18" x14ac:dyDescent="0.15">
      <c r="A322" s="179" t="str">
        <f t="shared" ref="A322:A385" si="8">B322&amp;"_"&amp;R322&amp;"_"&amp;D322</f>
        <v>Ciudad Juarez_Optimal Year Round_202.5</v>
      </c>
      <c r="B322" s="501" t="s">
        <v>1123</v>
      </c>
      <c r="C322" s="429">
        <v>32</v>
      </c>
      <c r="D322" s="429">
        <v>202.5</v>
      </c>
      <c r="E322" s="431">
        <v>4.88</v>
      </c>
      <c r="F322" s="431">
        <v>5.4</v>
      </c>
      <c r="G322" s="431">
        <v>6.28</v>
      </c>
      <c r="H322" s="431">
        <v>6.49</v>
      </c>
      <c r="I322" s="431">
        <v>6.47</v>
      </c>
      <c r="J322" s="431">
        <v>6.3</v>
      </c>
      <c r="K322" s="431">
        <v>5.88</v>
      </c>
      <c r="L322" s="431">
        <v>5.68</v>
      </c>
      <c r="M322" s="431">
        <v>5.5</v>
      </c>
      <c r="N322" s="431">
        <v>5.41</v>
      </c>
      <c r="O322" s="431">
        <v>5.03</v>
      </c>
      <c r="P322" s="431">
        <v>4.55</v>
      </c>
      <c r="Q322" s="179">
        <f t="shared" ref="Q322:Q385" si="9">AVERAGE(E322:P322)</f>
        <v>5.6558333333333337</v>
      </c>
      <c r="R322" s="179" t="s">
        <v>993</v>
      </c>
    </row>
    <row r="323" spans="1:18" x14ac:dyDescent="0.15">
      <c r="A323" s="179" t="str">
        <f t="shared" si="8"/>
        <v>Ciudad Juarez_Optimal Year Round_225</v>
      </c>
      <c r="B323" s="501" t="s">
        <v>1123</v>
      </c>
      <c r="C323" s="429">
        <v>32</v>
      </c>
      <c r="D323" s="429">
        <v>225</v>
      </c>
      <c r="E323" s="431">
        <v>4.75</v>
      </c>
      <c r="F323" s="431">
        <v>5.26</v>
      </c>
      <c r="G323" s="431">
        <v>6.12</v>
      </c>
      <c r="H323" s="431">
        <v>6.33</v>
      </c>
      <c r="I323" s="431">
        <v>6.31</v>
      </c>
      <c r="J323" s="431">
        <v>6.14</v>
      </c>
      <c r="K323" s="431">
        <v>5.73</v>
      </c>
      <c r="L323" s="431">
        <v>5.54</v>
      </c>
      <c r="M323" s="431">
        <v>5.36</v>
      </c>
      <c r="N323" s="431">
        <v>5.27</v>
      </c>
      <c r="O323" s="431">
        <v>4.9000000000000004</v>
      </c>
      <c r="P323" s="431">
        <v>4.4400000000000004</v>
      </c>
      <c r="Q323" s="179">
        <f t="shared" si="9"/>
        <v>5.5125000000000002</v>
      </c>
      <c r="R323" s="179" t="s">
        <v>993</v>
      </c>
    </row>
    <row r="324" spans="1:18" x14ac:dyDescent="0.15">
      <c r="A324" s="179" t="str">
        <f t="shared" si="8"/>
        <v>Ciudad Juarez_Optimal Year Round_247.5</v>
      </c>
      <c r="B324" s="501" t="s">
        <v>1123</v>
      </c>
      <c r="C324" s="429">
        <v>32</v>
      </c>
      <c r="D324" s="429">
        <v>247.5</v>
      </c>
      <c r="E324" s="431">
        <v>4.38</v>
      </c>
      <c r="F324" s="431">
        <v>4.8499999999999996</v>
      </c>
      <c r="G324" s="431">
        <v>5.64</v>
      </c>
      <c r="H324" s="431">
        <v>5.83</v>
      </c>
      <c r="I324" s="431">
        <v>5.81</v>
      </c>
      <c r="J324" s="431">
        <v>5.65</v>
      </c>
      <c r="K324" s="431">
        <v>5.28</v>
      </c>
      <c r="L324" s="431">
        <v>5.0999999999999996</v>
      </c>
      <c r="M324" s="431">
        <v>4.9400000000000004</v>
      </c>
      <c r="N324" s="431">
        <v>4.8600000000000003</v>
      </c>
      <c r="O324" s="431">
        <v>4.5199999999999996</v>
      </c>
      <c r="P324" s="431">
        <v>4.09</v>
      </c>
      <c r="Q324" s="179">
        <f t="shared" si="9"/>
        <v>5.0791666666666666</v>
      </c>
      <c r="R324" s="179" t="s">
        <v>993</v>
      </c>
    </row>
    <row r="325" spans="1:18" x14ac:dyDescent="0.15">
      <c r="A325" s="179" t="str">
        <f t="shared" si="8"/>
        <v>Ciudad Juarez_Optimal Year Round_270</v>
      </c>
      <c r="B325" s="501" t="s">
        <v>1123</v>
      </c>
      <c r="C325" s="429">
        <v>32</v>
      </c>
      <c r="D325" s="429">
        <v>270</v>
      </c>
      <c r="E325" s="431">
        <v>4</v>
      </c>
      <c r="F325" s="431">
        <v>4.43</v>
      </c>
      <c r="G325" s="431">
        <v>5.15</v>
      </c>
      <c r="H325" s="431">
        <v>5.33</v>
      </c>
      <c r="I325" s="431">
        <v>5.31</v>
      </c>
      <c r="J325" s="431">
        <v>5.17</v>
      </c>
      <c r="K325" s="431">
        <v>4.82</v>
      </c>
      <c r="L325" s="431">
        <v>4.66</v>
      </c>
      <c r="M325" s="431">
        <v>4.51</v>
      </c>
      <c r="N325" s="431">
        <v>4.4400000000000004</v>
      </c>
      <c r="O325" s="431">
        <v>4.13</v>
      </c>
      <c r="P325" s="431">
        <v>3.74</v>
      </c>
      <c r="Q325" s="179">
        <f t="shared" si="9"/>
        <v>4.640833333333334</v>
      </c>
      <c r="R325" s="179" t="s">
        <v>993</v>
      </c>
    </row>
    <row r="326" spans="1:18" x14ac:dyDescent="0.15">
      <c r="A326" s="179" t="str">
        <f t="shared" si="8"/>
        <v>Ciudad Lopez Mateos_Flat Surface_90</v>
      </c>
      <c r="B326" s="501" t="s">
        <v>1124</v>
      </c>
      <c r="C326" s="429">
        <v>0</v>
      </c>
      <c r="D326" s="429">
        <v>90</v>
      </c>
      <c r="E326" s="431">
        <v>4.74</v>
      </c>
      <c r="F326" s="431">
        <v>5.68</v>
      </c>
      <c r="G326" s="431">
        <v>6.47</v>
      </c>
      <c r="H326" s="431">
        <v>6.38</v>
      </c>
      <c r="I326" s="431">
        <v>6.21</v>
      </c>
      <c r="J326" s="431">
        <v>5.57</v>
      </c>
      <c r="K326" s="431">
        <v>5.48</v>
      </c>
      <c r="L326" s="431">
        <v>5.31</v>
      </c>
      <c r="M326" s="431">
        <v>4.88</v>
      </c>
      <c r="N326" s="431">
        <v>4.87</v>
      </c>
      <c r="O326" s="431">
        <v>4.7699999999999996</v>
      </c>
      <c r="P326" s="431">
        <v>4.34</v>
      </c>
      <c r="Q326" s="179">
        <f t="shared" si="9"/>
        <v>5.3916666666666666</v>
      </c>
      <c r="R326" s="179" t="s">
        <v>994</v>
      </c>
    </row>
    <row r="327" spans="1:18" x14ac:dyDescent="0.15">
      <c r="A327" s="179" t="str">
        <f t="shared" si="8"/>
        <v>Ciudad Lopez Mateos_Flat Surface_112.5</v>
      </c>
      <c r="B327" s="501" t="s">
        <v>1124</v>
      </c>
      <c r="C327" s="429">
        <v>0</v>
      </c>
      <c r="D327" s="429">
        <v>112.5</v>
      </c>
      <c r="E327" s="431">
        <v>4.74</v>
      </c>
      <c r="F327" s="431">
        <v>5.68</v>
      </c>
      <c r="G327" s="431">
        <v>6.47</v>
      </c>
      <c r="H327" s="431">
        <v>6.38</v>
      </c>
      <c r="I327" s="431">
        <v>6.21</v>
      </c>
      <c r="J327" s="431">
        <v>5.57</v>
      </c>
      <c r="K327" s="431">
        <v>5.48</v>
      </c>
      <c r="L327" s="431">
        <v>5.31</v>
      </c>
      <c r="M327" s="431">
        <v>4.88</v>
      </c>
      <c r="N327" s="431">
        <v>4.87</v>
      </c>
      <c r="O327" s="431">
        <v>4.7699999999999996</v>
      </c>
      <c r="P327" s="431">
        <v>4.34</v>
      </c>
      <c r="Q327" s="179">
        <f t="shared" si="9"/>
        <v>5.3916666666666666</v>
      </c>
      <c r="R327" s="179" t="s">
        <v>994</v>
      </c>
    </row>
    <row r="328" spans="1:18" x14ac:dyDescent="0.15">
      <c r="A328" s="179" t="str">
        <f t="shared" si="8"/>
        <v>Ciudad Lopez Mateos_Flat Surface_135</v>
      </c>
      <c r="B328" s="501" t="s">
        <v>1124</v>
      </c>
      <c r="C328" s="429">
        <v>0</v>
      </c>
      <c r="D328" s="429">
        <v>135</v>
      </c>
      <c r="E328" s="431">
        <v>4.74</v>
      </c>
      <c r="F328" s="431">
        <v>5.68</v>
      </c>
      <c r="G328" s="431">
        <v>6.47</v>
      </c>
      <c r="H328" s="431">
        <v>6.38</v>
      </c>
      <c r="I328" s="431">
        <v>6.21</v>
      </c>
      <c r="J328" s="431">
        <v>5.57</v>
      </c>
      <c r="K328" s="431">
        <v>5.48</v>
      </c>
      <c r="L328" s="431">
        <v>5.31</v>
      </c>
      <c r="M328" s="431">
        <v>4.88</v>
      </c>
      <c r="N328" s="431">
        <v>4.87</v>
      </c>
      <c r="O328" s="431">
        <v>4.7699999999999996</v>
      </c>
      <c r="P328" s="431">
        <v>4.34</v>
      </c>
      <c r="Q328" s="179">
        <f t="shared" si="9"/>
        <v>5.3916666666666666</v>
      </c>
      <c r="R328" s="179" t="s">
        <v>994</v>
      </c>
    </row>
    <row r="329" spans="1:18" x14ac:dyDescent="0.15">
      <c r="A329" s="179" t="str">
        <f t="shared" si="8"/>
        <v>Ciudad Lopez Mateos_Flat Surface_157.5</v>
      </c>
      <c r="B329" s="501" t="s">
        <v>1124</v>
      </c>
      <c r="C329" s="429">
        <v>0</v>
      </c>
      <c r="D329" s="429">
        <v>157.5</v>
      </c>
      <c r="E329" s="431">
        <v>4.74</v>
      </c>
      <c r="F329" s="431">
        <v>5.68</v>
      </c>
      <c r="G329" s="431">
        <v>6.47</v>
      </c>
      <c r="H329" s="431">
        <v>6.38</v>
      </c>
      <c r="I329" s="431">
        <v>6.21</v>
      </c>
      <c r="J329" s="431">
        <v>5.57</v>
      </c>
      <c r="K329" s="431">
        <v>5.48</v>
      </c>
      <c r="L329" s="431">
        <v>5.31</v>
      </c>
      <c r="M329" s="431">
        <v>4.88</v>
      </c>
      <c r="N329" s="431">
        <v>4.87</v>
      </c>
      <c r="O329" s="431">
        <v>4.7699999999999996</v>
      </c>
      <c r="P329" s="431">
        <v>4.34</v>
      </c>
      <c r="Q329" s="179">
        <f t="shared" si="9"/>
        <v>5.3916666666666666</v>
      </c>
      <c r="R329" s="179" t="s">
        <v>994</v>
      </c>
    </row>
    <row r="330" spans="1:18" x14ac:dyDescent="0.15">
      <c r="A330" s="179" t="str">
        <f t="shared" si="8"/>
        <v>Ciudad Lopez Mateos_Flat Surface_180</v>
      </c>
      <c r="B330" s="501" t="s">
        <v>1124</v>
      </c>
      <c r="C330" s="429">
        <v>0</v>
      </c>
      <c r="D330" s="429">
        <v>180</v>
      </c>
      <c r="E330" s="431">
        <v>4.74</v>
      </c>
      <c r="F330" s="431">
        <v>5.68</v>
      </c>
      <c r="G330" s="431">
        <v>6.47</v>
      </c>
      <c r="H330" s="431">
        <v>6.38</v>
      </c>
      <c r="I330" s="431">
        <v>6.21</v>
      </c>
      <c r="J330" s="431">
        <v>5.57</v>
      </c>
      <c r="K330" s="431">
        <v>5.48</v>
      </c>
      <c r="L330" s="431">
        <v>5.31</v>
      </c>
      <c r="M330" s="431">
        <v>4.88</v>
      </c>
      <c r="N330" s="431">
        <v>4.87</v>
      </c>
      <c r="O330" s="431">
        <v>4.7699999999999996</v>
      </c>
      <c r="P330" s="431">
        <v>4.34</v>
      </c>
      <c r="Q330" s="179">
        <f t="shared" si="9"/>
        <v>5.3916666666666666</v>
      </c>
      <c r="R330" s="179" t="s">
        <v>994</v>
      </c>
    </row>
    <row r="331" spans="1:18" x14ac:dyDescent="0.15">
      <c r="A331" s="179" t="str">
        <f t="shared" si="8"/>
        <v>Ciudad Lopez Mateos_Flat Surface_202.5</v>
      </c>
      <c r="B331" s="501" t="s">
        <v>1124</v>
      </c>
      <c r="C331" s="429">
        <v>0</v>
      </c>
      <c r="D331" s="429">
        <v>202.5</v>
      </c>
      <c r="E331" s="431">
        <v>4.74</v>
      </c>
      <c r="F331" s="431">
        <v>5.68</v>
      </c>
      <c r="G331" s="431">
        <v>6.47</v>
      </c>
      <c r="H331" s="431">
        <v>6.38</v>
      </c>
      <c r="I331" s="431">
        <v>6.21</v>
      </c>
      <c r="J331" s="431">
        <v>5.57</v>
      </c>
      <c r="K331" s="431">
        <v>5.48</v>
      </c>
      <c r="L331" s="431">
        <v>5.31</v>
      </c>
      <c r="M331" s="431">
        <v>4.88</v>
      </c>
      <c r="N331" s="431">
        <v>4.87</v>
      </c>
      <c r="O331" s="431">
        <v>4.7699999999999996</v>
      </c>
      <c r="P331" s="431">
        <v>4.34</v>
      </c>
      <c r="Q331" s="179">
        <f t="shared" si="9"/>
        <v>5.3916666666666666</v>
      </c>
      <c r="R331" s="179" t="s">
        <v>994</v>
      </c>
    </row>
    <row r="332" spans="1:18" x14ac:dyDescent="0.15">
      <c r="A332" s="179" t="str">
        <f t="shared" si="8"/>
        <v>Ciudad Lopez Mateos_Flat Surface_225</v>
      </c>
      <c r="B332" s="501" t="s">
        <v>1124</v>
      </c>
      <c r="C332" s="429">
        <v>0</v>
      </c>
      <c r="D332" s="429">
        <v>225</v>
      </c>
      <c r="E332" s="431">
        <v>4.74</v>
      </c>
      <c r="F332" s="431">
        <v>5.68</v>
      </c>
      <c r="G332" s="431">
        <v>6.47</v>
      </c>
      <c r="H332" s="431">
        <v>6.38</v>
      </c>
      <c r="I332" s="431">
        <v>6.21</v>
      </c>
      <c r="J332" s="431">
        <v>5.57</v>
      </c>
      <c r="K332" s="431">
        <v>5.48</v>
      </c>
      <c r="L332" s="431">
        <v>5.31</v>
      </c>
      <c r="M332" s="431">
        <v>4.88</v>
      </c>
      <c r="N332" s="431">
        <v>4.87</v>
      </c>
      <c r="O332" s="431">
        <v>4.7699999999999996</v>
      </c>
      <c r="P332" s="431">
        <v>4.34</v>
      </c>
      <c r="Q332" s="179">
        <f t="shared" si="9"/>
        <v>5.3916666666666666</v>
      </c>
      <c r="R332" s="179" t="s">
        <v>994</v>
      </c>
    </row>
    <row r="333" spans="1:18" x14ac:dyDescent="0.15">
      <c r="A333" s="179" t="str">
        <f t="shared" si="8"/>
        <v>Ciudad Lopez Mateos_Flat Surface_247.5</v>
      </c>
      <c r="B333" s="501" t="s">
        <v>1124</v>
      </c>
      <c r="C333" s="429">
        <v>0</v>
      </c>
      <c r="D333" s="429">
        <v>247.5</v>
      </c>
      <c r="E333" s="431">
        <v>4.74</v>
      </c>
      <c r="F333" s="431">
        <v>5.68</v>
      </c>
      <c r="G333" s="431">
        <v>6.47</v>
      </c>
      <c r="H333" s="431">
        <v>6.38</v>
      </c>
      <c r="I333" s="431">
        <v>6.21</v>
      </c>
      <c r="J333" s="431">
        <v>5.57</v>
      </c>
      <c r="K333" s="431">
        <v>5.48</v>
      </c>
      <c r="L333" s="431">
        <v>5.31</v>
      </c>
      <c r="M333" s="431">
        <v>4.88</v>
      </c>
      <c r="N333" s="431">
        <v>4.87</v>
      </c>
      <c r="O333" s="431">
        <v>4.7699999999999996</v>
      </c>
      <c r="P333" s="431">
        <v>4.34</v>
      </c>
      <c r="Q333" s="179">
        <f t="shared" si="9"/>
        <v>5.3916666666666666</v>
      </c>
      <c r="R333" s="179" t="s">
        <v>994</v>
      </c>
    </row>
    <row r="334" spans="1:18" x14ac:dyDescent="0.15">
      <c r="A334" s="179" t="str">
        <f t="shared" si="8"/>
        <v>Ciudad Lopez Mateos_Flat Surface_270</v>
      </c>
      <c r="B334" s="501" t="s">
        <v>1124</v>
      </c>
      <c r="C334" s="429">
        <v>0</v>
      </c>
      <c r="D334" s="429">
        <v>270</v>
      </c>
      <c r="E334" s="431">
        <v>4.74</v>
      </c>
      <c r="F334" s="431">
        <v>5.68</v>
      </c>
      <c r="G334" s="431">
        <v>6.47</v>
      </c>
      <c r="H334" s="431">
        <v>6.38</v>
      </c>
      <c r="I334" s="431">
        <v>6.21</v>
      </c>
      <c r="J334" s="431">
        <v>5.57</v>
      </c>
      <c r="K334" s="431">
        <v>5.48</v>
      </c>
      <c r="L334" s="431">
        <v>5.31</v>
      </c>
      <c r="M334" s="431">
        <v>4.88</v>
      </c>
      <c r="N334" s="431">
        <v>4.87</v>
      </c>
      <c r="O334" s="431">
        <v>4.7699999999999996</v>
      </c>
      <c r="P334" s="431">
        <v>4.34</v>
      </c>
      <c r="Q334" s="179">
        <f t="shared" si="9"/>
        <v>5.3916666666666666</v>
      </c>
      <c r="R334" s="179" t="s">
        <v>994</v>
      </c>
    </row>
    <row r="335" spans="1:18" x14ac:dyDescent="0.15">
      <c r="A335" s="179" t="str">
        <f t="shared" si="8"/>
        <v>Ciudad Lopez Mateos_Optimal Summer_90</v>
      </c>
      <c r="B335" s="501" t="s">
        <v>1124</v>
      </c>
      <c r="C335" s="429">
        <v>5</v>
      </c>
      <c r="D335" s="429">
        <v>90</v>
      </c>
      <c r="E335" s="431">
        <v>4</v>
      </c>
      <c r="F335" s="431">
        <v>4.72</v>
      </c>
      <c r="G335" s="431">
        <v>5.29</v>
      </c>
      <c r="H335" s="431">
        <v>5.13</v>
      </c>
      <c r="I335" s="431">
        <v>4.93</v>
      </c>
      <c r="J335" s="431">
        <v>4.49</v>
      </c>
      <c r="K335" s="431">
        <v>4.41</v>
      </c>
      <c r="L335" s="431">
        <v>4.25</v>
      </c>
      <c r="M335" s="431">
        <v>3.94</v>
      </c>
      <c r="N335" s="431">
        <v>4.01</v>
      </c>
      <c r="O335" s="431">
        <v>4</v>
      </c>
      <c r="P335" s="431">
        <v>3.66</v>
      </c>
      <c r="Q335" s="179">
        <f t="shared" si="9"/>
        <v>4.4024999999999999</v>
      </c>
      <c r="R335" s="179" t="s">
        <v>958</v>
      </c>
    </row>
    <row r="336" spans="1:18" x14ac:dyDescent="0.15">
      <c r="A336" s="179" t="str">
        <f t="shared" si="8"/>
        <v>Ciudad Lopez Mateos_Optimal Summer_112.5</v>
      </c>
      <c r="B336" s="501" t="s">
        <v>1124</v>
      </c>
      <c r="C336" s="429">
        <v>5</v>
      </c>
      <c r="D336" s="429">
        <v>112.5</v>
      </c>
      <c r="E336" s="431">
        <v>4.38</v>
      </c>
      <c r="F336" s="431">
        <v>5.16</v>
      </c>
      <c r="G336" s="431">
        <v>5.78</v>
      </c>
      <c r="H336" s="431">
        <v>5.61</v>
      </c>
      <c r="I336" s="431">
        <v>5.39</v>
      </c>
      <c r="J336" s="431">
        <v>4.91</v>
      </c>
      <c r="K336" s="431">
        <v>4.82</v>
      </c>
      <c r="L336" s="431">
        <v>4.6500000000000004</v>
      </c>
      <c r="M336" s="431">
        <v>4.3099999999999996</v>
      </c>
      <c r="N336" s="431">
        <v>4.38</v>
      </c>
      <c r="O336" s="431">
        <v>4.38</v>
      </c>
      <c r="P336" s="431">
        <v>4.01</v>
      </c>
      <c r="Q336" s="179">
        <f t="shared" si="9"/>
        <v>4.8150000000000004</v>
      </c>
      <c r="R336" s="179" t="s">
        <v>958</v>
      </c>
    </row>
    <row r="337" spans="1:18" x14ac:dyDescent="0.15">
      <c r="A337" s="179" t="str">
        <f t="shared" si="8"/>
        <v>Ciudad Lopez Mateos_Optimal Summer_135</v>
      </c>
      <c r="B337" s="501" t="s">
        <v>1124</v>
      </c>
      <c r="C337" s="429">
        <v>5</v>
      </c>
      <c r="D337" s="429">
        <v>135</v>
      </c>
      <c r="E337" s="431">
        <v>4.75</v>
      </c>
      <c r="F337" s="431">
        <v>5.6</v>
      </c>
      <c r="G337" s="431">
        <v>6.28</v>
      </c>
      <c r="H337" s="431">
        <v>6.09</v>
      </c>
      <c r="I337" s="431">
        <v>5.85</v>
      </c>
      <c r="J337" s="431">
        <v>5.33</v>
      </c>
      <c r="K337" s="431">
        <v>5.23</v>
      </c>
      <c r="L337" s="431">
        <v>5.04</v>
      </c>
      <c r="M337" s="431">
        <v>4.68</v>
      </c>
      <c r="N337" s="431">
        <v>4.76</v>
      </c>
      <c r="O337" s="431">
        <v>4.75</v>
      </c>
      <c r="P337" s="431">
        <v>4.3499999999999996</v>
      </c>
      <c r="Q337" s="179">
        <f t="shared" si="9"/>
        <v>5.2258333333333331</v>
      </c>
      <c r="R337" s="179" t="s">
        <v>958</v>
      </c>
    </row>
    <row r="338" spans="1:18" x14ac:dyDescent="0.15">
      <c r="A338" s="179" t="str">
        <f t="shared" si="8"/>
        <v>Ciudad Lopez Mateos_Optimal Summer_157.5</v>
      </c>
      <c r="B338" s="501" t="s">
        <v>1124</v>
      </c>
      <c r="C338" s="429">
        <v>5</v>
      </c>
      <c r="D338" s="429">
        <v>157.5</v>
      </c>
      <c r="E338" s="431">
        <v>4.88</v>
      </c>
      <c r="F338" s="431">
        <v>5.75</v>
      </c>
      <c r="G338" s="431">
        <v>6.44</v>
      </c>
      <c r="H338" s="431">
        <v>6.25</v>
      </c>
      <c r="I338" s="431">
        <v>6.01</v>
      </c>
      <c r="J338" s="431">
        <v>5.47</v>
      </c>
      <c r="K338" s="431">
        <v>5.37</v>
      </c>
      <c r="L338" s="431">
        <v>5.18</v>
      </c>
      <c r="M338" s="431">
        <v>4.8099999999999996</v>
      </c>
      <c r="N338" s="431">
        <v>4.88</v>
      </c>
      <c r="O338" s="431">
        <v>4.88</v>
      </c>
      <c r="P338" s="431">
        <v>4.47</v>
      </c>
      <c r="Q338" s="179">
        <f t="shared" si="9"/>
        <v>5.3658333333333337</v>
      </c>
      <c r="R338" s="179" t="s">
        <v>958</v>
      </c>
    </row>
    <row r="339" spans="1:18" x14ac:dyDescent="0.15">
      <c r="A339" s="179" t="str">
        <f t="shared" si="8"/>
        <v>Ciudad Lopez Mateos_Optimal Summer_180</v>
      </c>
      <c r="B339" s="501" t="s">
        <v>1124</v>
      </c>
      <c r="C339" s="429">
        <v>5</v>
      </c>
      <c r="D339" s="429">
        <v>180</v>
      </c>
      <c r="E339" s="431">
        <v>5</v>
      </c>
      <c r="F339" s="431">
        <v>5.9</v>
      </c>
      <c r="G339" s="431">
        <v>6.61</v>
      </c>
      <c r="H339" s="431">
        <v>6.41</v>
      </c>
      <c r="I339" s="431">
        <v>6.16</v>
      </c>
      <c r="J339" s="431">
        <v>5.61</v>
      </c>
      <c r="K339" s="431">
        <v>5.51</v>
      </c>
      <c r="L339" s="431">
        <v>5.31</v>
      </c>
      <c r="M339" s="431">
        <v>4.93</v>
      </c>
      <c r="N339" s="431">
        <v>5.01</v>
      </c>
      <c r="O339" s="431">
        <v>5</v>
      </c>
      <c r="P339" s="431">
        <v>4.58</v>
      </c>
      <c r="Q339" s="179">
        <f t="shared" si="9"/>
        <v>5.5025000000000004</v>
      </c>
      <c r="R339" s="179" t="s">
        <v>958</v>
      </c>
    </row>
    <row r="340" spans="1:18" x14ac:dyDescent="0.15">
      <c r="A340" s="179" t="str">
        <f t="shared" si="8"/>
        <v>Ciudad Lopez Mateos_Optimal Summer_202.5</v>
      </c>
      <c r="B340" s="501" t="s">
        <v>1124</v>
      </c>
      <c r="C340" s="429">
        <v>5</v>
      </c>
      <c r="D340" s="429">
        <v>202.5</v>
      </c>
      <c r="E340" s="431">
        <v>4.88</v>
      </c>
      <c r="F340" s="431">
        <v>5.75</v>
      </c>
      <c r="G340" s="431">
        <v>6.44</v>
      </c>
      <c r="H340" s="431">
        <v>6.25</v>
      </c>
      <c r="I340" s="431">
        <v>6.01</v>
      </c>
      <c r="J340" s="431">
        <v>5.47</v>
      </c>
      <c r="K340" s="431">
        <v>5.37</v>
      </c>
      <c r="L340" s="431">
        <v>5.18</v>
      </c>
      <c r="M340" s="431">
        <v>4.8099999999999996</v>
      </c>
      <c r="N340" s="431">
        <v>4.88</v>
      </c>
      <c r="O340" s="431">
        <v>4.88</v>
      </c>
      <c r="P340" s="431">
        <v>4.47</v>
      </c>
      <c r="Q340" s="179">
        <f t="shared" si="9"/>
        <v>5.3658333333333337</v>
      </c>
      <c r="R340" s="179" t="s">
        <v>958</v>
      </c>
    </row>
    <row r="341" spans="1:18" x14ac:dyDescent="0.15">
      <c r="A341" s="179" t="str">
        <f t="shared" si="8"/>
        <v>Ciudad Lopez Mateos_Optimal Summer_225</v>
      </c>
      <c r="B341" s="501" t="s">
        <v>1124</v>
      </c>
      <c r="C341" s="429">
        <v>5</v>
      </c>
      <c r="D341" s="429">
        <v>225</v>
      </c>
      <c r="E341" s="431">
        <v>4.75</v>
      </c>
      <c r="F341" s="431">
        <v>5.6</v>
      </c>
      <c r="G341" s="431">
        <v>6.28</v>
      </c>
      <c r="H341" s="431">
        <v>6.09</v>
      </c>
      <c r="I341" s="431">
        <v>5.85</v>
      </c>
      <c r="J341" s="431">
        <v>5.33</v>
      </c>
      <c r="K341" s="431">
        <v>5.23</v>
      </c>
      <c r="L341" s="431">
        <v>5.04</v>
      </c>
      <c r="M341" s="431">
        <v>4.68</v>
      </c>
      <c r="N341" s="431">
        <v>4.76</v>
      </c>
      <c r="O341" s="431">
        <v>4.75</v>
      </c>
      <c r="P341" s="431">
        <v>4.3499999999999996</v>
      </c>
      <c r="Q341" s="179">
        <f t="shared" si="9"/>
        <v>5.2258333333333331</v>
      </c>
      <c r="R341" s="179" t="s">
        <v>958</v>
      </c>
    </row>
    <row r="342" spans="1:18" x14ac:dyDescent="0.15">
      <c r="A342" s="179" t="str">
        <f t="shared" si="8"/>
        <v>Ciudad Lopez Mateos_Optimal Summer_247.5</v>
      </c>
      <c r="B342" s="501" t="s">
        <v>1124</v>
      </c>
      <c r="C342" s="429">
        <v>5</v>
      </c>
      <c r="D342" s="429">
        <v>247.5</v>
      </c>
      <c r="E342" s="431">
        <v>4.38</v>
      </c>
      <c r="F342" s="431">
        <v>5.16</v>
      </c>
      <c r="G342" s="431">
        <v>5.78</v>
      </c>
      <c r="H342" s="431">
        <v>5.61</v>
      </c>
      <c r="I342" s="431">
        <v>5.39</v>
      </c>
      <c r="J342" s="431">
        <v>4.91</v>
      </c>
      <c r="K342" s="431">
        <v>4.82</v>
      </c>
      <c r="L342" s="431">
        <v>4.6500000000000004</v>
      </c>
      <c r="M342" s="431">
        <v>4.3099999999999996</v>
      </c>
      <c r="N342" s="431">
        <v>4.38</v>
      </c>
      <c r="O342" s="431">
        <v>4.38</v>
      </c>
      <c r="P342" s="431">
        <v>4.01</v>
      </c>
      <c r="Q342" s="179">
        <f t="shared" si="9"/>
        <v>4.8150000000000004</v>
      </c>
      <c r="R342" s="179" t="s">
        <v>958</v>
      </c>
    </row>
    <row r="343" spans="1:18" x14ac:dyDescent="0.15">
      <c r="A343" s="179" t="str">
        <f t="shared" si="8"/>
        <v>Ciudad Lopez Mateos_Optimal Summer_270</v>
      </c>
      <c r="B343" s="501" t="s">
        <v>1124</v>
      </c>
      <c r="C343" s="429">
        <v>5</v>
      </c>
      <c r="D343" s="429">
        <v>270</v>
      </c>
      <c r="E343" s="431">
        <v>4</v>
      </c>
      <c r="F343" s="431">
        <v>4.72</v>
      </c>
      <c r="G343" s="431">
        <v>5.29</v>
      </c>
      <c r="H343" s="431">
        <v>5.13</v>
      </c>
      <c r="I343" s="431">
        <v>4.93</v>
      </c>
      <c r="J343" s="431">
        <v>4.49</v>
      </c>
      <c r="K343" s="431">
        <v>4.41</v>
      </c>
      <c r="L343" s="431">
        <v>4.25</v>
      </c>
      <c r="M343" s="431">
        <v>3.94</v>
      </c>
      <c r="N343" s="431">
        <v>4.01</v>
      </c>
      <c r="O343" s="431">
        <v>4</v>
      </c>
      <c r="P343" s="431">
        <v>3.66</v>
      </c>
      <c r="Q343" s="179">
        <f t="shared" si="9"/>
        <v>4.4024999999999999</v>
      </c>
      <c r="R343" s="179" t="s">
        <v>958</v>
      </c>
    </row>
    <row r="344" spans="1:18" x14ac:dyDescent="0.15">
      <c r="A344" s="179" t="str">
        <f t="shared" si="8"/>
        <v>Ciudad Lopez Mateos_Optimal Year Round_90</v>
      </c>
      <c r="B344" s="501" t="s">
        <v>1124</v>
      </c>
      <c r="C344" s="429">
        <v>20</v>
      </c>
      <c r="D344" s="429">
        <v>90</v>
      </c>
      <c r="E344" s="431">
        <v>4.62</v>
      </c>
      <c r="F344" s="431">
        <v>5.22</v>
      </c>
      <c r="G344" s="431">
        <v>5.5</v>
      </c>
      <c r="H344" s="431">
        <v>5.04</v>
      </c>
      <c r="I344" s="431">
        <v>4.63</v>
      </c>
      <c r="J344" s="431">
        <v>4.46</v>
      </c>
      <c r="K344" s="431">
        <v>4.3600000000000003</v>
      </c>
      <c r="L344" s="431">
        <v>4.1100000000000003</v>
      </c>
      <c r="M344" s="431">
        <v>3.98</v>
      </c>
      <c r="N344" s="431">
        <v>4.2699999999999996</v>
      </c>
      <c r="O344" s="431">
        <v>4.55</v>
      </c>
      <c r="P344" s="431">
        <v>4.24</v>
      </c>
      <c r="Q344" s="179">
        <f t="shared" si="9"/>
        <v>4.5816666666666661</v>
      </c>
      <c r="R344" s="179" t="s">
        <v>993</v>
      </c>
    </row>
    <row r="345" spans="1:18" x14ac:dyDescent="0.15">
      <c r="A345" s="179" t="str">
        <f t="shared" si="8"/>
        <v>Ciudad Lopez Mateos_Optimal Year Round_112.5</v>
      </c>
      <c r="B345" s="501" t="s">
        <v>1124</v>
      </c>
      <c r="C345" s="429">
        <v>20</v>
      </c>
      <c r="D345" s="429">
        <v>112.5</v>
      </c>
      <c r="E345" s="431">
        <v>5.0599999999999996</v>
      </c>
      <c r="F345" s="431">
        <v>5.7</v>
      </c>
      <c r="G345" s="431">
        <v>6.02</v>
      </c>
      <c r="H345" s="431">
        <v>5.51</v>
      </c>
      <c r="I345" s="431">
        <v>5.07</v>
      </c>
      <c r="J345" s="431">
        <v>4.88</v>
      </c>
      <c r="K345" s="431">
        <v>4.7699999999999996</v>
      </c>
      <c r="L345" s="431">
        <v>4.5</v>
      </c>
      <c r="M345" s="431">
        <v>4.3499999999999996</v>
      </c>
      <c r="N345" s="431">
        <v>4.67</v>
      </c>
      <c r="O345" s="431">
        <v>4.9800000000000004</v>
      </c>
      <c r="P345" s="431">
        <v>4.6399999999999997</v>
      </c>
      <c r="Q345" s="179">
        <f t="shared" si="9"/>
        <v>5.0125000000000002</v>
      </c>
      <c r="R345" s="179" t="s">
        <v>993</v>
      </c>
    </row>
    <row r="346" spans="1:18" x14ac:dyDescent="0.15">
      <c r="A346" s="179" t="str">
        <f t="shared" si="8"/>
        <v>Ciudad Lopez Mateos_Optimal Year Round_135</v>
      </c>
      <c r="B346" s="501" t="s">
        <v>1124</v>
      </c>
      <c r="C346" s="429">
        <v>20</v>
      </c>
      <c r="D346" s="429">
        <v>135</v>
      </c>
      <c r="E346" s="431">
        <v>5.49</v>
      </c>
      <c r="F346" s="431">
        <v>6.19</v>
      </c>
      <c r="G346" s="431">
        <v>6.54</v>
      </c>
      <c r="H346" s="431">
        <v>5.98</v>
      </c>
      <c r="I346" s="431">
        <v>5.5</v>
      </c>
      <c r="J346" s="431">
        <v>5.3</v>
      </c>
      <c r="K346" s="431">
        <v>5.18</v>
      </c>
      <c r="L346" s="431">
        <v>4.88</v>
      </c>
      <c r="M346" s="431">
        <v>4.72</v>
      </c>
      <c r="N346" s="431">
        <v>5.07</v>
      </c>
      <c r="O346" s="431">
        <v>5.41</v>
      </c>
      <c r="P346" s="431">
        <v>5.04</v>
      </c>
      <c r="Q346" s="179">
        <f t="shared" si="9"/>
        <v>5.4416666666666673</v>
      </c>
      <c r="R346" s="179" t="s">
        <v>993</v>
      </c>
    </row>
    <row r="347" spans="1:18" x14ac:dyDescent="0.15">
      <c r="A347" s="179" t="str">
        <f t="shared" si="8"/>
        <v>Ciudad Lopez Mateos_Optimal Year Round_157.5</v>
      </c>
      <c r="B347" s="501" t="s">
        <v>1124</v>
      </c>
      <c r="C347" s="429">
        <v>20</v>
      </c>
      <c r="D347" s="429">
        <v>157.5</v>
      </c>
      <c r="E347" s="431">
        <v>5.64</v>
      </c>
      <c r="F347" s="431">
        <v>6.36</v>
      </c>
      <c r="G347" s="431">
        <v>6.71</v>
      </c>
      <c r="H347" s="431">
        <v>6.14</v>
      </c>
      <c r="I347" s="431">
        <v>5.65</v>
      </c>
      <c r="J347" s="431">
        <v>5.44</v>
      </c>
      <c r="K347" s="431">
        <v>5.31</v>
      </c>
      <c r="L347" s="431">
        <v>5.01</v>
      </c>
      <c r="M347" s="431">
        <v>4.8499999999999996</v>
      </c>
      <c r="N347" s="431">
        <v>5.21</v>
      </c>
      <c r="O347" s="431">
        <v>5.55</v>
      </c>
      <c r="P347" s="431">
        <v>5.17</v>
      </c>
      <c r="Q347" s="179">
        <f t="shared" si="9"/>
        <v>5.586666666666666</v>
      </c>
      <c r="R347" s="179" t="s">
        <v>993</v>
      </c>
    </row>
    <row r="348" spans="1:18" x14ac:dyDescent="0.15">
      <c r="A348" s="179" t="str">
        <f t="shared" si="8"/>
        <v>Ciudad Lopez Mateos_Optimal Year Round_180</v>
      </c>
      <c r="B348" s="501" t="s">
        <v>1124</v>
      </c>
      <c r="C348" s="429">
        <v>20</v>
      </c>
      <c r="D348" s="429">
        <v>180</v>
      </c>
      <c r="E348" s="431">
        <v>5.78</v>
      </c>
      <c r="F348" s="431">
        <v>6.52</v>
      </c>
      <c r="G348" s="431">
        <v>6.88</v>
      </c>
      <c r="H348" s="431">
        <v>6.3</v>
      </c>
      <c r="I348" s="431">
        <v>5.79</v>
      </c>
      <c r="J348" s="431">
        <v>5.58</v>
      </c>
      <c r="K348" s="431">
        <v>5.45</v>
      </c>
      <c r="L348" s="431">
        <v>5.14</v>
      </c>
      <c r="M348" s="431">
        <v>4.97</v>
      </c>
      <c r="N348" s="431">
        <v>5.34</v>
      </c>
      <c r="O348" s="431">
        <v>5.69</v>
      </c>
      <c r="P348" s="431">
        <v>5.3</v>
      </c>
      <c r="Q348" s="179">
        <f t="shared" si="9"/>
        <v>5.7283333333333326</v>
      </c>
      <c r="R348" s="179" t="s">
        <v>993</v>
      </c>
    </row>
    <row r="349" spans="1:18" x14ac:dyDescent="0.15">
      <c r="A349" s="179" t="str">
        <f t="shared" si="8"/>
        <v>Ciudad Lopez Mateos_Optimal Year Round_202.5</v>
      </c>
      <c r="B349" s="501" t="s">
        <v>1124</v>
      </c>
      <c r="C349" s="429">
        <v>20</v>
      </c>
      <c r="D349" s="429">
        <v>202.5</v>
      </c>
      <c r="E349" s="431">
        <v>5.64</v>
      </c>
      <c r="F349" s="431">
        <v>6.36</v>
      </c>
      <c r="G349" s="431">
        <v>6.71</v>
      </c>
      <c r="H349" s="431">
        <v>6.14</v>
      </c>
      <c r="I349" s="431">
        <v>5.65</v>
      </c>
      <c r="J349" s="431">
        <v>5.44</v>
      </c>
      <c r="K349" s="431">
        <v>5.31</v>
      </c>
      <c r="L349" s="431">
        <v>5.01</v>
      </c>
      <c r="M349" s="431">
        <v>4.8499999999999996</v>
      </c>
      <c r="N349" s="431">
        <v>5.21</v>
      </c>
      <c r="O349" s="431">
        <v>5.55</v>
      </c>
      <c r="P349" s="431">
        <v>5.17</v>
      </c>
      <c r="Q349" s="179">
        <f t="shared" si="9"/>
        <v>5.586666666666666</v>
      </c>
      <c r="R349" s="179" t="s">
        <v>993</v>
      </c>
    </row>
    <row r="350" spans="1:18" x14ac:dyDescent="0.15">
      <c r="A350" s="179" t="str">
        <f t="shared" si="8"/>
        <v>Ciudad Lopez Mateos_Optimal Year Round_225</v>
      </c>
      <c r="B350" s="501" t="s">
        <v>1124</v>
      </c>
      <c r="C350" s="429">
        <v>20</v>
      </c>
      <c r="D350" s="429">
        <v>225</v>
      </c>
      <c r="E350" s="431">
        <v>5.49</v>
      </c>
      <c r="F350" s="431">
        <v>6.19</v>
      </c>
      <c r="G350" s="431">
        <v>6.54</v>
      </c>
      <c r="H350" s="431">
        <v>5.98</v>
      </c>
      <c r="I350" s="431">
        <v>5.5</v>
      </c>
      <c r="J350" s="431">
        <v>5.3</v>
      </c>
      <c r="K350" s="431">
        <v>5.18</v>
      </c>
      <c r="L350" s="431">
        <v>4.88</v>
      </c>
      <c r="M350" s="431">
        <v>4.72</v>
      </c>
      <c r="N350" s="431">
        <v>5.07</v>
      </c>
      <c r="O350" s="431">
        <v>5.41</v>
      </c>
      <c r="P350" s="431">
        <v>5.04</v>
      </c>
      <c r="Q350" s="179">
        <f t="shared" si="9"/>
        <v>5.4416666666666673</v>
      </c>
      <c r="R350" s="179" t="s">
        <v>993</v>
      </c>
    </row>
    <row r="351" spans="1:18" x14ac:dyDescent="0.15">
      <c r="A351" s="179" t="str">
        <f t="shared" si="8"/>
        <v>Ciudad Lopez Mateos_Optimal Year Round_247.5</v>
      </c>
      <c r="B351" s="501" t="s">
        <v>1124</v>
      </c>
      <c r="C351" s="429">
        <v>20</v>
      </c>
      <c r="D351" s="429">
        <v>247.5</v>
      </c>
      <c r="E351" s="431">
        <v>5.0599999999999996</v>
      </c>
      <c r="F351" s="431">
        <v>5.7</v>
      </c>
      <c r="G351" s="431">
        <v>6.02</v>
      </c>
      <c r="H351" s="431">
        <v>5.51</v>
      </c>
      <c r="I351" s="431">
        <v>5.07</v>
      </c>
      <c r="J351" s="431">
        <v>4.88</v>
      </c>
      <c r="K351" s="431">
        <v>4.7699999999999996</v>
      </c>
      <c r="L351" s="431">
        <v>4.5</v>
      </c>
      <c r="M351" s="431">
        <v>4.3499999999999996</v>
      </c>
      <c r="N351" s="431">
        <v>4.67</v>
      </c>
      <c r="O351" s="431">
        <v>4.9800000000000004</v>
      </c>
      <c r="P351" s="431">
        <v>4.6399999999999997</v>
      </c>
      <c r="Q351" s="179">
        <f t="shared" si="9"/>
        <v>5.0125000000000002</v>
      </c>
      <c r="R351" s="179" t="s">
        <v>993</v>
      </c>
    </row>
    <row r="352" spans="1:18" x14ac:dyDescent="0.15">
      <c r="A352" s="179" t="str">
        <f t="shared" si="8"/>
        <v>Ciudad Lopez Mateos_Optimal Year Round_270</v>
      </c>
      <c r="B352" s="501" t="s">
        <v>1124</v>
      </c>
      <c r="C352" s="429">
        <v>20</v>
      </c>
      <c r="D352" s="429">
        <v>270</v>
      </c>
      <c r="E352" s="431">
        <v>4.62</v>
      </c>
      <c r="F352" s="431">
        <v>5.22</v>
      </c>
      <c r="G352" s="431">
        <v>5.5</v>
      </c>
      <c r="H352" s="431">
        <v>5.04</v>
      </c>
      <c r="I352" s="431">
        <v>4.63</v>
      </c>
      <c r="J352" s="431">
        <v>4.46</v>
      </c>
      <c r="K352" s="431">
        <v>4.3600000000000003</v>
      </c>
      <c r="L352" s="431">
        <v>4.1100000000000003</v>
      </c>
      <c r="M352" s="431">
        <v>3.98</v>
      </c>
      <c r="N352" s="431">
        <v>4.2699999999999996</v>
      </c>
      <c r="O352" s="431">
        <v>4.55</v>
      </c>
      <c r="P352" s="431">
        <v>4.24</v>
      </c>
      <c r="Q352" s="179">
        <f t="shared" si="9"/>
        <v>4.5816666666666661</v>
      </c>
      <c r="R352" s="179" t="s">
        <v>993</v>
      </c>
    </row>
    <row r="353" spans="1:18" x14ac:dyDescent="0.15">
      <c r="A353" s="179" t="str">
        <f t="shared" si="8"/>
        <v>Ciudad Nezahualcoyotl_Flat Surface_90</v>
      </c>
      <c r="B353" s="501" t="s">
        <v>1125</v>
      </c>
      <c r="C353" s="429">
        <v>0</v>
      </c>
      <c r="D353" s="429">
        <v>90</v>
      </c>
      <c r="E353" s="431">
        <v>4.6900000000000004</v>
      </c>
      <c r="F353" s="431">
        <v>5.45</v>
      </c>
      <c r="G353" s="431">
        <v>6.13</v>
      </c>
      <c r="H353" s="431">
        <v>6.1</v>
      </c>
      <c r="I353" s="431">
        <v>6.13</v>
      </c>
      <c r="J353" s="431">
        <v>5.61</v>
      </c>
      <c r="K353" s="431">
        <v>5.64</v>
      </c>
      <c r="L353" s="431">
        <v>5.46</v>
      </c>
      <c r="M353" s="431">
        <v>4.88</v>
      </c>
      <c r="N353" s="431">
        <v>4.8899999999999997</v>
      </c>
      <c r="O353" s="431">
        <v>4.75</v>
      </c>
      <c r="P353" s="431">
        <v>4.34</v>
      </c>
      <c r="Q353" s="179">
        <f t="shared" si="9"/>
        <v>5.3391666666666673</v>
      </c>
      <c r="R353" s="179" t="s">
        <v>994</v>
      </c>
    </row>
    <row r="354" spans="1:18" x14ac:dyDescent="0.15">
      <c r="A354" s="179" t="str">
        <f t="shared" si="8"/>
        <v>Ciudad Nezahualcoyotl_Flat Surface_112.5</v>
      </c>
      <c r="B354" s="501" t="s">
        <v>1125</v>
      </c>
      <c r="C354" s="429">
        <v>0</v>
      </c>
      <c r="D354" s="429">
        <v>112.5</v>
      </c>
      <c r="E354" s="431">
        <v>4.6900000000000004</v>
      </c>
      <c r="F354" s="431">
        <v>5.45</v>
      </c>
      <c r="G354" s="431">
        <v>6.13</v>
      </c>
      <c r="H354" s="431">
        <v>6.1</v>
      </c>
      <c r="I354" s="431">
        <v>6.13</v>
      </c>
      <c r="J354" s="431">
        <v>5.61</v>
      </c>
      <c r="K354" s="431">
        <v>5.64</v>
      </c>
      <c r="L354" s="431">
        <v>5.46</v>
      </c>
      <c r="M354" s="431">
        <v>4.88</v>
      </c>
      <c r="N354" s="431">
        <v>4.8899999999999997</v>
      </c>
      <c r="O354" s="431">
        <v>4.75</v>
      </c>
      <c r="P354" s="431">
        <v>4.34</v>
      </c>
      <c r="Q354" s="179">
        <f t="shared" si="9"/>
        <v>5.3391666666666673</v>
      </c>
      <c r="R354" s="179" t="s">
        <v>994</v>
      </c>
    </row>
    <row r="355" spans="1:18" x14ac:dyDescent="0.15">
      <c r="A355" s="179" t="str">
        <f t="shared" si="8"/>
        <v>Ciudad Nezahualcoyotl_Flat Surface_135</v>
      </c>
      <c r="B355" s="501" t="s">
        <v>1125</v>
      </c>
      <c r="C355" s="429">
        <v>0</v>
      </c>
      <c r="D355" s="429">
        <v>135</v>
      </c>
      <c r="E355" s="431">
        <v>4.6900000000000004</v>
      </c>
      <c r="F355" s="431">
        <v>5.45</v>
      </c>
      <c r="G355" s="431">
        <v>6.13</v>
      </c>
      <c r="H355" s="431">
        <v>6.1</v>
      </c>
      <c r="I355" s="431">
        <v>6.13</v>
      </c>
      <c r="J355" s="431">
        <v>5.61</v>
      </c>
      <c r="K355" s="431">
        <v>5.64</v>
      </c>
      <c r="L355" s="431">
        <v>5.46</v>
      </c>
      <c r="M355" s="431">
        <v>4.88</v>
      </c>
      <c r="N355" s="431">
        <v>4.8899999999999997</v>
      </c>
      <c r="O355" s="431">
        <v>4.75</v>
      </c>
      <c r="P355" s="431">
        <v>4.34</v>
      </c>
      <c r="Q355" s="179">
        <f t="shared" si="9"/>
        <v>5.3391666666666673</v>
      </c>
      <c r="R355" s="179" t="s">
        <v>994</v>
      </c>
    </row>
    <row r="356" spans="1:18" x14ac:dyDescent="0.15">
      <c r="A356" s="179" t="str">
        <f t="shared" si="8"/>
        <v>Ciudad Nezahualcoyotl_Flat Surface_157.5</v>
      </c>
      <c r="B356" s="501" t="s">
        <v>1125</v>
      </c>
      <c r="C356" s="429">
        <v>0</v>
      </c>
      <c r="D356" s="429">
        <v>157.5</v>
      </c>
      <c r="E356" s="431">
        <v>4.6900000000000004</v>
      </c>
      <c r="F356" s="431">
        <v>5.45</v>
      </c>
      <c r="G356" s="431">
        <v>6.13</v>
      </c>
      <c r="H356" s="431">
        <v>6.1</v>
      </c>
      <c r="I356" s="431">
        <v>6.13</v>
      </c>
      <c r="J356" s="431">
        <v>5.61</v>
      </c>
      <c r="K356" s="431">
        <v>5.64</v>
      </c>
      <c r="L356" s="431">
        <v>5.46</v>
      </c>
      <c r="M356" s="431">
        <v>4.88</v>
      </c>
      <c r="N356" s="431">
        <v>4.8899999999999997</v>
      </c>
      <c r="O356" s="431">
        <v>4.75</v>
      </c>
      <c r="P356" s="431">
        <v>4.34</v>
      </c>
      <c r="Q356" s="179">
        <f t="shared" si="9"/>
        <v>5.3391666666666673</v>
      </c>
      <c r="R356" s="179" t="s">
        <v>994</v>
      </c>
    </row>
    <row r="357" spans="1:18" x14ac:dyDescent="0.15">
      <c r="A357" s="179" t="str">
        <f t="shared" si="8"/>
        <v>Ciudad Nezahualcoyotl_Flat Surface_180</v>
      </c>
      <c r="B357" s="501" t="s">
        <v>1125</v>
      </c>
      <c r="C357" s="429">
        <v>0</v>
      </c>
      <c r="D357" s="429">
        <v>180</v>
      </c>
      <c r="E357" s="431">
        <v>4.6900000000000004</v>
      </c>
      <c r="F357" s="431">
        <v>5.45</v>
      </c>
      <c r="G357" s="431">
        <v>6.13</v>
      </c>
      <c r="H357" s="431">
        <v>6.1</v>
      </c>
      <c r="I357" s="431">
        <v>6.13</v>
      </c>
      <c r="J357" s="431">
        <v>5.61</v>
      </c>
      <c r="K357" s="431">
        <v>5.64</v>
      </c>
      <c r="L357" s="431">
        <v>5.46</v>
      </c>
      <c r="M357" s="431">
        <v>4.88</v>
      </c>
      <c r="N357" s="431">
        <v>4.8899999999999997</v>
      </c>
      <c r="O357" s="431">
        <v>4.75</v>
      </c>
      <c r="P357" s="431">
        <v>4.34</v>
      </c>
      <c r="Q357" s="179">
        <f t="shared" si="9"/>
        <v>5.3391666666666673</v>
      </c>
      <c r="R357" s="179" t="s">
        <v>994</v>
      </c>
    </row>
    <row r="358" spans="1:18" x14ac:dyDescent="0.15">
      <c r="A358" s="179" t="str">
        <f t="shared" si="8"/>
        <v>Ciudad Nezahualcoyotl_Flat Surface_202.5</v>
      </c>
      <c r="B358" s="501" t="s">
        <v>1125</v>
      </c>
      <c r="C358" s="429">
        <v>0</v>
      </c>
      <c r="D358" s="429">
        <v>202.5</v>
      </c>
      <c r="E358" s="431">
        <v>4.6900000000000004</v>
      </c>
      <c r="F358" s="431">
        <v>5.45</v>
      </c>
      <c r="G358" s="431">
        <v>6.13</v>
      </c>
      <c r="H358" s="431">
        <v>6.1</v>
      </c>
      <c r="I358" s="431">
        <v>6.13</v>
      </c>
      <c r="J358" s="431">
        <v>5.61</v>
      </c>
      <c r="K358" s="431">
        <v>5.64</v>
      </c>
      <c r="L358" s="431">
        <v>5.46</v>
      </c>
      <c r="M358" s="431">
        <v>4.88</v>
      </c>
      <c r="N358" s="431">
        <v>4.8899999999999997</v>
      </c>
      <c r="O358" s="431">
        <v>4.75</v>
      </c>
      <c r="P358" s="431">
        <v>4.34</v>
      </c>
      <c r="Q358" s="179">
        <f t="shared" si="9"/>
        <v>5.3391666666666673</v>
      </c>
      <c r="R358" s="179" t="s">
        <v>994</v>
      </c>
    </row>
    <row r="359" spans="1:18" x14ac:dyDescent="0.15">
      <c r="A359" s="179" t="str">
        <f t="shared" si="8"/>
        <v>Ciudad Nezahualcoyotl_Flat Surface_225</v>
      </c>
      <c r="B359" s="501" t="s">
        <v>1125</v>
      </c>
      <c r="C359" s="429">
        <v>0</v>
      </c>
      <c r="D359" s="429">
        <v>225</v>
      </c>
      <c r="E359" s="431">
        <v>4.6900000000000004</v>
      </c>
      <c r="F359" s="431">
        <v>5.45</v>
      </c>
      <c r="G359" s="431">
        <v>6.13</v>
      </c>
      <c r="H359" s="431">
        <v>6.1</v>
      </c>
      <c r="I359" s="431">
        <v>6.13</v>
      </c>
      <c r="J359" s="431">
        <v>5.61</v>
      </c>
      <c r="K359" s="431">
        <v>5.64</v>
      </c>
      <c r="L359" s="431">
        <v>5.46</v>
      </c>
      <c r="M359" s="431">
        <v>4.88</v>
      </c>
      <c r="N359" s="431">
        <v>4.8899999999999997</v>
      </c>
      <c r="O359" s="431">
        <v>4.75</v>
      </c>
      <c r="P359" s="431">
        <v>4.34</v>
      </c>
      <c r="Q359" s="179">
        <f t="shared" si="9"/>
        <v>5.3391666666666673</v>
      </c>
      <c r="R359" s="179" t="s">
        <v>994</v>
      </c>
    </row>
    <row r="360" spans="1:18" x14ac:dyDescent="0.15">
      <c r="A360" s="179" t="str">
        <f t="shared" si="8"/>
        <v>Ciudad Nezahualcoyotl_Flat Surface_247.5</v>
      </c>
      <c r="B360" s="501" t="s">
        <v>1125</v>
      </c>
      <c r="C360" s="429">
        <v>0</v>
      </c>
      <c r="D360" s="429">
        <v>247.5</v>
      </c>
      <c r="E360" s="431">
        <v>4.6900000000000004</v>
      </c>
      <c r="F360" s="431">
        <v>5.45</v>
      </c>
      <c r="G360" s="431">
        <v>6.13</v>
      </c>
      <c r="H360" s="431">
        <v>6.1</v>
      </c>
      <c r="I360" s="431">
        <v>6.13</v>
      </c>
      <c r="J360" s="431">
        <v>5.61</v>
      </c>
      <c r="K360" s="431">
        <v>5.64</v>
      </c>
      <c r="L360" s="431">
        <v>5.46</v>
      </c>
      <c r="M360" s="431">
        <v>4.88</v>
      </c>
      <c r="N360" s="431">
        <v>4.8899999999999997</v>
      </c>
      <c r="O360" s="431">
        <v>4.75</v>
      </c>
      <c r="P360" s="431">
        <v>4.34</v>
      </c>
      <c r="Q360" s="179">
        <f t="shared" si="9"/>
        <v>5.3391666666666673</v>
      </c>
      <c r="R360" s="179" t="s">
        <v>994</v>
      </c>
    </row>
    <row r="361" spans="1:18" x14ac:dyDescent="0.15">
      <c r="A361" s="179" t="str">
        <f t="shared" si="8"/>
        <v>Ciudad Nezahualcoyotl_Flat Surface_270</v>
      </c>
      <c r="B361" s="501" t="s">
        <v>1125</v>
      </c>
      <c r="C361" s="429">
        <v>0</v>
      </c>
      <c r="D361" s="429">
        <v>270</v>
      </c>
      <c r="E361" s="431">
        <v>4.6900000000000004</v>
      </c>
      <c r="F361" s="431">
        <v>5.45</v>
      </c>
      <c r="G361" s="431">
        <v>6.13</v>
      </c>
      <c r="H361" s="431">
        <v>6.1</v>
      </c>
      <c r="I361" s="431">
        <v>6.13</v>
      </c>
      <c r="J361" s="431">
        <v>5.61</v>
      </c>
      <c r="K361" s="431">
        <v>5.64</v>
      </c>
      <c r="L361" s="431">
        <v>5.46</v>
      </c>
      <c r="M361" s="431">
        <v>4.88</v>
      </c>
      <c r="N361" s="431">
        <v>4.8899999999999997</v>
      </c>
      <c r="O361" s="431">
        <v>4.75</v>
      </c>
      <c r="P361" s="431">
        <v>4.34</v>
      </c>
      <c r="Q361" s="179">
        <f t="shared" si="9"/>
        <v>5.3391666666666673</v>
      </c>
      <c r="R361" s="179" t="s">
        <v>994</v>
      </c>
    </row>
    <row r="362" spans="1:18" x14ac:dyDescent="0.15">
      <c r="A362" s="179" t="str">
        <f t="shared" si="8"/>
        <v>Ciudad Nezahualcoyotl_Optimal Summer_90</v>
      </c>
      <c r="B362" s="501" t="s">
        <v>1125</v>
      </c>
      <c r="C362" s="429">
        <v>4</v>
      </c>
      <c r="D362" s="429">
        <v>90</v>
      </c>
      <c r="E362" s="431">
        <v>3.95</v>
      </c>
      <c r="F362" s="431">
        <v>4.53</v>
      </c>
      <c r="G362" s="431">
        <v>5</v>
      </c>
      <c r="H362" s="431">
        <v>4.9000000000000004</v>
      </c>
      <c r="I362" s="431">
        <v>4.8600000000000003</v>
      </c>
      <c r="J362" s="431">
        <v>4.5199999999999996</v>
      </c>
      <c r="K362" s="431">
        <v>4.54</v>
      </c>
      <c r="L362" s="431">
        <v>4.3600000000000003</v>
      </c>
      <c r="M362" s="431">
        <v>3.94</v>
      </c>
      <c r="N362" s="431">
        <v>4.0199999999999996</v>
      </c>
      <c r="O362" s="431">
        <v>3.98</v>
      </c>
      <c r="P362" s="431">
        <v>3.66</v>
      </c>
      <c r="Q362" s="179">
        <f t="shared" si="9"/>
        <v>4.3550000000000004</v>
      </c>
      <c r="R362" s="179" t="s">
        <v>958</v>
      </c>
    </row>
    <row r="363" spans="1:18" x14ac:dyDescent="0.15">
      <c r="A363" s="179" t="str">
        <f t="shared" si="8"/>
        <v>Ciudad Nezahualcoyotl_Optimal Summer_112.5</v>
      </c>
      <c r="B363" s="501" t="s">
        <v>1125</v>
      </c>
      <c r="C363" s="429">
        <v>4</v>
      </c>
      <c r="D363" s="429">
        <v>112.5</v>
      </c>
      <c r="E363" s="431">
        <v>4.32</v>
      </c>
      <c r="F363" s="431">
        <v>4.95</v>
      </c>
      <c r="G363" s="431">
        <v>5.47</v>
      </c>
      <c r="H363" s="431">
        <v>5.36</v>
      </c>
      <c r="I363" s="431">
        <v>5.32</v>
      </c>
      <c r="J363" s="431">
        <v>4.9400000000000004</v>
      </c>
      <c r="K363" s="431">
        <v>4.96</v>
      </c>
      <c r="L363" s="431">
        <v>4.7699999999999996</v>
      </c>
      <c r="M363" s="431">
        <v>4.3099999999999996</v>
      </c>
      <c r="N363" s="431">
        <v>4.3899999999999997</v>
      </c>
      <c r="O363" s="431">
        <v>4.3600000000000003</v>
      </c>
      <c r="P363" s="431">
        <v>4</v>
      </c>
      <c r="Q363" s="179">
        <f t="shared" si="9"/>
        <v>4.7625000000000002</v>
      </c>
      <c r="R363" s="179" t="s">
        <v>958</v>
      </c>
    </row>
    <row r="364" spans="1:18" x14ac:dyDescent="0.15">
      <c r="A364" s="179" t="str">
        <f t="shared" si="8"/>
        <v>Ciudad Nezahualcoyotl_Optimal Summer_135</v>
      </c>
      <c r="B364" s="501" t="s">
        <v>1125</v>
      </c>
      <c r="C364" s="429">
        <v>4</v>
      </c>
      <c r="D364" s="429">
        <v>135</v>
      </c>
      <c r="E364" s="431">
        <v>4.6900000000000004</v>
      </c>
      <c r="F364" s="431">
        <v>5.38</v>
      </c>
      <c r="G364" s="431">
        <v>5.94</v>
      </c>
      <c r="H364" s="431">
        <v>5.81</v>
      </c>
      <c r="I364" s="431">
        <v>5.78</v>
      </c>
      <c r="J364" s="431">
        <v>5.37</v>
      </c>
      <c r="K364" s="431">
        <v>5.39</v>
      </c>
      <c r="L364" s="431">
        <v>5.18</v>
      </c>
      <c r="M364" s="431">
        <v>4.68</v>
      </c>
      <c r="N364" s="431">
        <v>4.7699999999999996</v>
      </c>
      <c r="O364" s="431">
        <v>4.7300000000000004</v>
      </c>
      <c r="P364" s="431">
        <v>4.34</v>
      </c>
      <c r="Q364" s="179">
        <f t="shared" si="9"/>
        <v>5.1716666666666669</v>
      </c>
      <c r="R364" s="179" t="s">
        <v>958</v>
      </c>
    </row>
    <row r="365" spans="1:18" x14ac:dyDescent="0.15">
      <c r="A365" s="179" t="str">
        <f t="shared" si="8"/>
        <v>Ciudad Nezahualcoyotl_Optimal Summer_157.5</v>
      </c>
      <c r="B365" s="501" t="s">
        <v>1125</v>
      </c>
      <c r="C365" s="429">
        <v>4</v>
      </c>
      <c r="D365" s="429">
        <v>157.5</v>
      </c>
      <c r="E365" s="431">
        <v>4.82</v>
      </c>
      <c r="F365" s="431">
        <v>5.52</v>
      </c>
      <c r="G365" s="431">
        <v>6.09</v>
      </c>
      <c r="H365" s="431">
        <v>5.97</v>
      </c>
      <c r="I365" s="431">
        <v>5.93</v>
      </c>
      <c r="J365" s="431">
        <v>5.51</v>
      </c>
      <c r="K365" s="431">
        <v>5.53</v>
      </c>
      <c r="L365" s="431">
        <v>5.31</v>
      </c>
      <c r="M365" s="431">
        <v>4.8099999999999996</v>
      </c>
      <c r="N365" s="431">
        <v>4.8899999999999997</v>
      </c>
      <c r="O365" s="431">
        <v>4.8600000000000003</v>
      </c>
      <c r="P365" s="431">
        <v>4.46</v>
      </c>
      <c r="Q365" s="179">
        <f t="shared" si="9"/>
        <v>5.3083333333333336</v>
      </c>
      <c r="R365" s="179" t="s">
        <v>958</v>
      </c>
    </row>
    <row r="366" spans="1:18" x14ac:dyDescent="0.15">
      <c r="A366" s="179" t="str">
        <f t="shared" si="8"/>
        <v>Ciudad Nezahualcoyotl_Optimal Summer_180</v>
      </c>
      <c r="B366" s="501" t="s">
        <v>1125</v>
      </c>
      <c r="C366" s="429">
        <v>4</v>
      </c>
      <c r="D366" s="429">
        <v>180</v>
      </c>
      <c r="E366" s="431">
        <v>4.9400000000000004</v>
      </c>
      <c r="F366" s="431">
        <v>5.66</v>
      </c>
      <c r="G366" s="431">
        <v>6.25</v>
      </c>
      <c r="H366" s="431">
        <v>6.12</v>
      </c>
      <c r="I366" s="431">
        <v>6.08</v>
      </c>
      <c r="J366" s="431">
        <v>5.65</v>
      </c>
      <c r="K366" s="431">
        <v>5.67</v>
      </c>
      <c r="L366" s="431">
        <v>5.45</v>
      </c>
      <c r="M366" s="431">
        <v>4.93</v>
      </c>
      <c r="N366" s="431">
        <v>5.0199999999999996</v>
      </c>
      <c r="O366" s="431">
        <v>4.9800000000000004</v>
      </c>
      <c r="P366" s="431">
        <v>4.57</v>
      </c>
      <c r="Q366" s="179">
        <f t="shared" si="9"/>
        <v>5.4433333333333351</v>
      </c>
      <c r="R366" s="179" t="s">
        <v>958</v>
      </c>
    </row>
    <row r="367" spans="1:18" x14ac:dyDescent="0.15">
      <c r="A367" s="179" t="str">
        <f t="shared" si="8"/>
        <v>Ciudad Nezahualcoyotl_Optimal Summer_202.5</v>
      </c>
      <c r="B367" s="501" t="s">
        <v>1125</v>
      </c>
      <c r="C367" s="429">
        <v>4</v>
      </c>
      <c r="D367" s="429">
        <v>202.5</v>
      </c>
      <c r="E367" s="431">
        <v>4.82</v>
      </c>
      <c r="F367" s="431">
        <v>5.52</v>
      </c>
      <c r="G367" s="431">
        <v>6.09</v>
      </c>
      <c r="H367" s="431">
        <v>5.97</v>
      </c>
      <c r="I367" s="431">
        <v>5.93</v>
      </c>
      <c r="J367" s="431">
        <v>5.51</v>
      </c>
      <c r="K367" s="431">
        <v>5.53</v>
      </c>
      <c r="L367" s="431">
        <v>5.31</v>
      </c>
      <c r="M367" s="431">
        <v>4.8099999999999996</v>
      </c>
      <c r="N367" s="431">
        <v>4.8899999999999997</v>
      </c>
      <c r="O367" s="431">
        <v>4.8600000000000003</v>
      </c>
      <c r="P367" s="431">
        <v>4.46</v>
      </c>
      <c r="Q367" s="179">
        <f t="shared" si="9"/>
        <v>5.3083333333333336</v>
      </c>
      <c r="R367" s="179" t="s">
        <v>958</v>
      </c>
    </row>
    <row r="368" spans="1:18" x14ac:dyDescent="0.15">
      <c r="A368" s="179" t="str">
        <f t="shared" si="8"/>
        <v>Ciudad Nezahualcoyotl_Optimal Summer_225</v>
      </c>
      <c r="B368" s="501" t="s">
        <v>1125</v>
      </c>
      <c r="C368" s="429">
        <v>4</v>
      </c>
      <c r="D368" s="429">
        <v>225</v>
      </c>
      <c r="E368" s="431">
        <v>4.6900000000000004</v>
      </c>
      <c r="F368" s="431">
        <v>5.38</v>
      </c>
      <c r="G368" s="431">
        <v>5.94</v>
      </c>
      <c r="H368" s="431">
        <v>5.81</v>
      </c>
      <c r="I368" s="431">
        <v>5.78</v>
      </c>
      <c r="J368" s="431">
        <v>5.37</v>
      </c>
      <c r="K368" s="431">
        <v>5.39</v>
      </c>
      <c r="L368" s="431">
        <v>5.18</v>
      </c>
      <c r="M368" s="431">
        <v>4.68</v>
      </c>
      <c r="N368" s="431">
        <v>4.7699999999999996</v>
      </c>
      <c r="O368" s="431">
        <v>4.7300000000000004</v>
      </c>
      <c r="P368" s="431">
        <v>4.34</v>
      </c>
      <c r="Q368" s="179">
        <f t="shared" si="9"/>
        <v>5.1716666666666669</v>
      </c>
      <c r="R368" s="179" t="s">
        <v>958</v>
      </c>
    </row>
    <row r="369" spans="1:18" x14ac:dyDescent="0.15">
      <c r="A369" s="179" t="str">
        <f t="shared" si="8"/>
        <v>Ciudad Nezahualcoyotl_Optimal Summer_247.5</v>
      </c>
      <c r="B369" s="501" t="s">
        <v>1125</v>
      </c>
      <c r="C369" s="429">
        <v>4</v>
      </c>
      <c r="D369" s="429">
        <v>247.5</v>
      </c>
      <c r="E369" s="431">
        <v>4.32</v>
      </c>
      <c r="F369" s="431">
        <v>4.95</v>
      </c>
      <c r="G369" s="431">
        <v>5.47</v>
      </c>
      <c r="H369" s="431">
        <v>5.36</v>
      </c>
      <c r="I369" s="431">
        <v>5.32</v>
      </c>
      <c r="J369" s="431">
        <v>4.9400000000000004</v>
      </c>
      <c r="K369" s="431">
        <v>4.96</v>
      </c>
      <c r="L369" s="431">
        <v>4.7699999999999996</v>
      </c>
      <c r="M369" s="431">
        <v>4.3099999999999996</v>
      </c>
      <c r="N369" s="431">
        <v>4.3899999999999997</v>
      </c>
      <c r="O369" s="431">
        <v>4.3600000000000003</v>
      </c>
      <c r="P369" s="431">
        <v>4</v>
      </c>
      <c r="Q369" s="179">
        <f t="shared" si="9"/>
        <v>4.7625000000000002</v>
      </c>
      <c r="R369" s="179" t="s">
        <v>958</v>
      </c>
    </row>
    <row r="370" spans="1:18" x14ac:dyDescent="0.15">
      <c r="A370" s="179" t="str">
        <f t="shared" si="8"/>
        <v>Ciudad Nezahualcoyotl_Optimal Summer_270</v>
      </c>
      <c r="B370" s="501" t="s">
        <v>1125</v>
      </c>
      <c r="C370" s="429">
        <v>4</v>
      </c>
      <c r="D370" s="429">
        <v>270</v>
      </c>
      <c r="E370" s="431">
        <v>3.95</v>
      </c>
      <c r="F370" s="431">
        <v>4.53</v>
      </c>
      <c r="G370" s="431">
        <v>5</v>
      </c>
      <c r="H370" s="431">
        <v>4.9000000000000004</v>
      </c>
      <c r="I370" s="431">
        <v>4.8600000000000003</v>
      </c>
      <c r="J370" s="431">
        <v>4.5199999999999996</v>
      </c>
      <c r="K370" s="431">
        <v>4.54</v>
      </c>
      <c r="L370" s="431">
        <v>4.3600000000000003</v>
      </c>
      <c r="M370" s="431">
        <v>3.94</v>
      </c>
      <c r="N370" s="431">
        <v>4.0199999999999996</v>
      </c>
      <c r="O370" s="431">
        <v>3.98</v>
      </c>
      <c r="P370" s="431">
        <v>3.66</v>
      </c>
      <c r="Q370" s="179">
        <f t="shared" si="9"/>
        <v>4.3550000000000004</v>
      </c>
      <c r="R370" s="179" t="s">
        <v>958</v>
      </c>
    </row>
    <row r="371" spans="1:18" x14ac:dyDescent="0.15">
      <c r="A371" s="179" t="str">
        <f t="shared" si="8"/>
        <v>Ciudad Nezahualcoyotl_Optimal Year Round_90</v>
      </c>
      <c r="B371" s="501" t="s">
        <v>1125</v>
      </c>
      <c r="C371" s="429">
        <v>19</v>
      </c>
      <c r="D371" s="429">
        <v>90</v>
      </c>
      <c r="E371" s="431">
        <v>4.5599999999999996</v>
      </c>
      <c r="F371" s="431">
        <v>4.9800000000000004</v>
      </c>
      <c r="G371" s="431">
        <v>5.18</v>
      </c>
      <c r="H371" s="431">
        <v>4.8099999999999996</v>
      </c>
      <c r="I371" s="431">
        <v>4.58</v>
      </c>
      <c r="J371" s="431">
        <v>4.5</v>
      </c>
      <c r="K371" s="431">
        <v>4.5</v>
      </c>
      <c r="L371" s="431">
        <v>4.22</v>
      </c>
      <c r="M371" s="431">
        <v>3.98</v>
      </c>
      <c r="N371" s="431">
        <v>4.28</v>
      </c>
      <c r="O371" s="431">
        <v>4.5199999999999996</v>
      </c>
      <c r="P371" s="431">
        <v>4.2300000000000004</v>
      </c>
      <c r="Q371" s="179">
        <f t="shared" si="9"/>
        <v>4.5283333333333333</v>
      </c>
      <c r="R371" s="179" t="s">
        <v>993</v>
      </c>
    </row>
    <row r="372" spans="1:18" x14ac:dyDescent="0.15">
      <c r="A372" s="179" t="str">
        <f t="shared" si="8"/>
        <v>Ciudad Nezahualcoyotl_Optimal Year Round_112.5</v>
      </c>
      <c r="B372" s="501" t="s">
        <v>1125</v>
      </c>
      <c r="C372" s="429">
        <v>19</v>
      </c>
      <c r="D372" s="429">
        <v>112.5</v>
      </c>
      <c r="E372" s="431">
        <v>4.99</v>
      </c>
      <c r="F372" s="431">
        <v>5.44</v>
      </c>
      <c r="G372" s="431">
        <v>5.67</v>
      </c>
      <c r="H372" s="431">
        <v>5.26</v>
      </c>
      <c r="I372" s="431">
        <v>5</v>
      </c>
      <c r="J372" s="431">
        <v>4.93</v>
      </c>
      <c r="K372" s="431">
        <v>4.92</v>
      </c>
      <c r="L372" s="431">
        <v>4.62</v>
      </c>
      <c r="M372" s="431">
        <v>4.3499999999999996</v>
      </c>
      <c r="N372" s="431">
        <v>4.68</v>
      </c>
      <c r="O372" s="431">
        <v>4.9400000000000004</v>
      </c>
      <c r="P372" s="431">
        <v>4.63</v>
      </c>
      <c r="Q372" s="179">
        <f t="shared" si="9"/>
        <v>4.9524999999999997</v>
      </c>
      <c r="R372" s="179" t="s">
        <v>993</v>
      </c>
    </row>
    <row r="373" spans="1:18" x14ac:dyDescent="0.15">
      <c r="A373" s="179" t="str">
        <f t="shared" si="8"/>
        <v>Ciudad Nezahualcoyotl_Optimal Year Round_135</v>
      </c>
      <c r="B373" s="501" t="s">
        <v>1125</v>
      </c>
      <c r="C373" s="429">
        <v>19</v>
      </c>
      <c r="D373" s="429">
        <v>135</v>
      </c>
      <c r="E373" s="431">
        <v>5.42</v>
      </c>
      <c r="F373" s="431">
        <v>5.91</v>
      </c>
      <c r="G373" s="431">
        <v>6.16</v>
      </c>
      <c r="H373" s="431">
        <v>5.71</v>
      </c>
      <c r="I373" s="431">
        <v>5.43</v>
      </c>
      <c r="J373" s="431">
        <v>5.35</v>
      </c>
      <c r="K373" s="431">
        <v>5.34</v>
      </c>
      <c r="L373" s="431">
        <v>5.0199999999999996</v>
      </c>
      <c r="M373" s="431">
        <v>4.72</v>
      </c>
      <c r="N373" s="431">
        <v>5.08</v>
      </c>
      <c r="O373" s="431">
        <v>5.37</v>
      </c>
      <c r="P373" s="431">
        <v>5.03</v>
      </c>
      <c r="Q373" s="179">
        <f t="shared" si="9"/>
        <v>5.378333333333333</v>
      </c>
      <c r="R373" s="179" t="s">
        <v>993</v>
      </c>
    </row>
    <row r="374" spans="1:18" x14ac:dyDescent="0.15">
      <c r="A374" s="179" t="str">
        <f t="shared" si="8"/>
        <v>Ciudad Nezahualcoyotl_Optimal Year Round_157.5</v>
      </c>
      <c r="B374" s="501" t="s">
        <v>1125</v>
      </c>
      <c r="C374" s="429">
        <v>19</v>
      </c>
      <c r="D374" s="429">
        <v>157.5</v>
      </c>
      <c r="E374" s="431">
        <v>5.56</v>
      </c>
      <c r="F374" s="431">
        <v>6.06</v>
      </c>
      <c r="G374" s="431">
        <v>6.32</v>
      </c>
      <c r="H374" s="431">
        <v>5.86</v>
      </c>
      <c r="I374" s="431">
        <v>5.58</v>
      </c>
      <c r="J374" s="431">
        <v>5.49</v>
      </c>
      <c r="K374" s="431">
        <v>5.48</v>
      </c>
      <c r="L374" s="431">
        <v>5.15</v>
      </c>
      <c r="M374" s="431">
        <v>4.8499999999999996</v>
      </c>
      <c r="N374" s="431">
        <v>5.22</v>
      </c>
      <c r="O374" s="431">
        <v>5.51</v>
      </c>
      <c r="P374" s="431">
        <v>5.16</v>
      </c>
      <c r="Q374" s="179">
        <f t="shared" si="9"/>
        <v>5.52</v>
      </c>
      <c r="R374" s="179" t="s">
        <v>993</v>
      </c>
    </row>
    <row r="375" spans="1:18" x14ac:dyDescent="0.15">
      <c r="A375" s="179" t="str">
        <f t="shared" si="8"/>
        <v>Ciudad Nezahualcoyotl_Optimal Year Round_180</v>
      </c>
      <c r="B375" s="501" t="s">
        <v>1125</v>
      </c>
      <c r="C375" s="429">
        <v>19</v>
      </c>
      <c r="D375" s="429">
        <v>180</v>
      </c>
      <c r="E375" s="431">
        <v>5.7</v>
      </c>
      <c r="F375" s="431">
        <v>6.22</v>
      </c>
      <c r="G375" s="431">
        <v>6.48</v>
      </c>
      <c r="H375" s="431">
        <v>6.01</v>
      </c>
      <c r="I375" s="431">
        <v>5.72</v>
      </c>
      <c r="J375" s="431">
        <v>5.63</v>
      </c>
      <c r="K375" s="431">
        <v>5.62</v>
      </c>
      <c r="L375" s="431">
        <v>5.28</v>
      </c>
      <c r="M375" s="431">
        <v>4.97</v>
      </c>
      <c r="N375" s="431">
        <v>5.35</v>
      </c>
      <c r="O375" s="431">
        <v>5.65</v>
      </c>
      <c r="P375" s="431">
        <v>5.29</v>
      </c>
      <c r="Q375" s="179">
        <f t="shared" si="9"/>
        <v>5.66</v>
      </c>
      <c r="R375" s="179" t="s">
        <v>993</v>
      </c>
    </row>
    <row r="376" spans="1:18" x14ac:dyDescent="0.15">
      <c r="A376" s="179" t="str">
        <f t="shared" si="8"/>
        <v>Ciudad Nezahualcoyotl_Optimal Year Round_202.5</v>
      </c>
      <c r="B376" s="501" t="s">
        <v>1125</v>
      </c>
      <c r="C376" s="429">
        <v>19</v>
      </c>
      <c r="D376" s="429">
        <v>202.5</v>
      </c>
      <c r="E376" s="431">
        <v>5.56</v>
      </c>
      <c r="F376" s="431">
        <v>6.06</v>
      </c>
      <c r="G376" s="431">
        <v>6.32</v>
      </c>
      <c r="H376" s="431">
        <v>5.86</v>
      </c>
      <c r="I376" s="431">
        <v>5.58</v>
      </c>
      <c r="J376" s="431">
        <v>5.49</v>
      </c>
      <c r="K376" s="431">
        <v>5.48</v>
      </c>
      <c r="L376" s="431">
        <v>5.15</v>
      </c>
      <c r="M376" s="431">
        <v>4.8499999999999996</v>
      </c>
      <c r="N376" s="431">
        <v>5.22</v>
      </c>
      <c r="O376" s="431">
        <v>5.51</v>
      </c>
      <c r="P376" s="431">
        <v>5.16</v>
      </c>
      <c r="Q376" s="179">
        <f t="shared" si="9"/>
        <v>5.52</v>
      </c>
      <c r="R376" s="179" t="s">
        <v>993</v>
      </c>
    </row>
    <row r="377" spans="1:18" x14ac:dyDescent="0.15">
      <c r="A377" s="179" t="str">
        <f t="shared" si="8"/>
        <v>Ciudad Nezahualcoyotl_Optimal Year Round_225</v>
      </c>
      <c r="B377" s="501" t="s">
        <v>1125</v>
      </c>
      <c r="C377" s="429">
        <v>19</v>
      </c>
      <c r="D377" s="429">
        <v>225</v>
      </c>
      <c r="E377" s="431">
        <v>5.42</v>
      </c>
      <c r="F377" s="431">
        <v>5.91</v>
      </c>
      <c r="G377" s="431">
        <v>6.16</v>
      </c>
      <c r="H377" s="431">
        <v>5.71</v>
      </c>
      <c r="I377" s="431">
        <v>5.43</v>
      </c>
      <c r="J377" s="431">
        <v>5.35</v>
      </c>
      <c r="K377" s="431">
        <v>5.34</v>
      </c>
      <c r="L377" s="431">
        <v>5.0199999999999996</v>
      </c>
      <c r="M377" s="431">
        <v>4.72</v>
      </c>
      <c r="N377" s="431">
        <v>5.08</v>
      </c>
      <c r="O377" s="431">
        <v>5.37</v>
      </c>
      <c r="P377" s="431">
        <v>5.03</v>
      </c>
      <c r="Q377" s="179">
        <f t="shared" si="9"/>
        <v>5.378333333333333</v>
      </c>
      <c r="R377" s="179" t="s">
        <v>993</v>
      </c>
    </row>
    <row r="378" spans="1:18" x14ac:dyDescent="0.15">
      <c r="A378" s="179" t="str">
        <f t="shared" si="8"/>
        <v>Ciudad Nezahualcoyotl_Optimal Year Round_247.5</v>
      </c>
      <c r="B378" s="501" t="s">
        <v>1125</v>
      </c>
      <c r="C378" s="429">
        <v>19</v>
      </c>
      <c r="D378" s="429">
        <v>247.5</v>
      </c>
      <c r="E378" s="431">
        <v>4.99</v>
      </c>
      <c r="F378" s="431">
        <v>5.44</v>
      </c>
      <c r="G378" s="431">
        <v>5.67</v>
      </c>
      <c r="H378" s="431">
        <v>5.26</v>
      </c>
      <c r="I378" s="431">
        <v>5</v>
      </c>
      <c r="J378" s="431">
        <v>4.93</v>
      </c>
      <c r="K378" s="431">
        <v>4.92</v>
      </c>
      <c r="L378" s="431">
        <v>4.62</v>
      </c>
      <c r="M378" s="431">
        <v>4.3499999999999996</v>
      </c>
      <c r="N378" s="431">
        <v>4.68</v>
      </c>
      <c r="O378" s="431">
        <v>4.9400000000000004</v>
      </c>
      <c r="P378" s="431">
        <v>4.63</v>
      </c>
      <c r="Q378" s="179">
        <f t="shared" si="9"/>
        <v>4.9524999999999997</v>
      </c>
      <c r="R378" s="179" t="s">
        <v>993</v>
      </c>
    </row>
    <row r="379" spans="1:18" x14ac:dyDescent="0.15">
      <c r="A379" s="179" t="str">
        <f t="shared" si="8"/>
        <v>Ciudad Nezahualcoyotl_Optimal Year Round_270</v>
      </c>
      <c r="B379" s="501" t="s">
        <v>1125</v>
      </c>
      <c r="C379" s="429">
        <v>19</v>
      </c>
      <c r="D379" s="429">
        <v>270</v>
      </c>
      <c r="E379" s="431">
        <v>4.5599999999999996</v>
      </c>
      <c r="F379" s="431">
        <v>4.9800000000000004</v>
      </c>
      <c r="G379" s="431">
        <v>5.18</v>
      </c>
      <c r="H379" s="431">
        <v>4.8099999999999996</v>
      </c>
      <c r="I379" s="431">
        <v>4.58</v>
      </c>
      <c r="J379" s="431">
        <v>4.5</v>
      </c>
      <c r="K379" s="431">
        <v>4.5</v>
      </c>
      <c r="L379" s="431">
        <v>4.22</v>
      </c>
      <c r="M379" s="431">
        <v>3.98</v>
      </c>
      <c r="N379" s="431">
        <v>4.28</v>
      </c>
      <c r="O379" s="431">
        <v>4.5199999999999996</v>
      </c>
      <c r="P379" s="431">
        <v>4.2300000000000004</v>
      </c>
      <c r="Q379" s="179">
        <f t="shared" si="9"/>
        <v>4.5283333333333333</v>
      </c>
      <c r="R379" s="179" t="s">
        <v>993</v>
      </c>
    </row>
    <row r="380" spans="1:18" x14ac:dyDescent="0.15">
      <c r="A380" s="179" t="str">
        <f t="shared" si="8"/>
        <v>Ciudad Obregon_Flat Surface_90</v>
      </c>
      <c r="B380" s="501" t="s">
        <v>1126</v>
      </c>
      <c r="C380" s="429">
        <v>0</v>
      </c>
      <c r="D380" s="429">
        <v>90</v>
      </c>
      <c r="E380" s="431">
        <v>3.97</v>
      </c>
      <c r="F380" s="431">
        <v>4.9000000000000004</v>
      </c>
      <c r="G380" s="431">
        <v>6.32</v>
      </c>
      <c r="H380" s="431">
        <v>7.11</v>
      </c>
      <c r="I380" s="431">
        <v>7.77</v>
      </c>
      <c r="J380" s="431">
        <v>7.52</v>
      </c>
      <c r="K380" s="431">
        <v>6.56</v>
      </c>
      <c r="L380" s="431">
        <v>6.06</v>
      </c>
      <c r="M380" s="431">
        <v>5.79</v>
      </c>
      <c r="N380" s="431">
        <v>5.14</v>
      </c>
      <c r="O380" s="431">
        <v>4.25</v>
      </c>
      <c r="P380" s="431">
        <v>3.69</v>
      </c>
      <c r="Q380" s="179">
        <f t="shared" si="9"/>
        <v>5.7566666666666677</v>
      </c>
      <c r="R380" s="179" t="s">
        <v>994</v>
      </c>
    </row>
    <row r="381" spans="1:18" x14ac:dyDescent="0.15">
      <c r="A381" s="179" t="str">
        <f t="shared" si="8"/>
        <v>Ciudad Obregon_Flat Surface_112.5</v>
      </c>
      <c r="B381" s="501" t="s">
        <v>1126</v>
      </c>
      <c r="C381" s="429">
        <v>0</v>
      </c>
      <c r="D381" s="429">
        <v>112.5</v>
      </c>
      <c r="E381" s="431">
        <v>3.97</v>
      </c>
      <c r="F381" s="431">
        <v>4.9000000000000004</v>
      </c>
      <c r="G381" s="431">
        <v>6.32</v>
      </c>
      <c r="H381" s="431">
        <v>7.11</v>
      </c>
      <c r="I381" s="431">
        <v>7.77</v>
      </c>
      <c r="J381" s="431">
        <v>7.52</v>
      </c>
      <c r="K381" s="431">
        <v>6.56</v>
      </c>
      <c r="L381" s="431">
        <v>6.06</v>
      </c>
      <c r="M381" s="431">
        <v>5.79</v>
      </c>
      <c r="N381" s="431">
        <v>5.14</v>
      </c>
      <c r="O381" s="431">
        <v>4.25</v>
      </c>
      <c r="P381" s="431">
        <v>3.69</v>
      </c>
      <c r="Q381" s="179">
        <f t="shared" si="9"/>
        <v>5.7566666666666677</v>
      </c>
      <c r="R381" s="179" t="s">
        <v>994</v>
      </c>
    </row>
    <row r="382" spans="1:18" x14ac:dyDescent="0.15">
      <c r="A382" s="179" t="str">
        <f t="shared" si="8"/>
        <v>Ciudad Obregon_Flat Surface_135</v>
      </c>
      <c r="B382" s="501" t="s">
        <v>1126</v>
      </c>
      <c r="C382" s="429">
        <v>0</v>
      </c>
      <c r="D382" s="429">
        <v>135</v>
      </c>
      <c r="E382" s="431">
        <v>3.97</v>
      </c>
      <c r="F382" s="431">
        <v>4.9000000000000004</v>
      </c>
      <c r="G382" s="431">
        <v>6.32</v>
      </c>
      <c r="H382" s="431">
        <v>7.11</v>
      </c>
      <c r="I382" s="431">
        <v>7.77</v>
      </c>
      <c r="J382" s="431">
        <v>7.52</v>
      </c>
      <c r="K382" s="431">
        <v>6.56</v>
      </c>
      <c r="L382" s="431">
        <v>6.06</v>
      </c>
      <c r="M382" s="431">
        <v>5.79</v>
      </c>
      <c r="N382" s="431">
        <v>5.14</v>
      </c>
      <c r="O382" s="431">
        <v>4.25</v>
      </c>
      <c r="P382" s="431">
        <v>3.69</v>
      </c>
      <c r="Q382" s="179">
        <f t="shared" si="9"/>
        <v>5.7566666666666677</v>
      </c>
      <c r="R382" s="179" t="s">
        <v>994</v>
      </c>
    </row>
    <row r="383" spans="1:18" x14ac:dyDescent="0.15">
      <c r="A383" s="179" t="str">
        <f t="shared" si="8"/>
        <v>Ciudad Obregon_Flat Surface_157.5</v>
      </c>
      <c r="B383" s="501" t="s">
        <v>1126</v>
      </c>
      <c r="C383" s="429">
        <v>0</v>
      </c>
      <c r="D383" s="429">
        <v>157.5</v>
      </c>
      <c r="E383" s="431">
        <v>3.97</v>
      </c>
      <c r="F383" s="431">
        <v>4.9000000000000004</v>
      </c>
      <c r="G383" s="431">
        <v>6.32</v>
      </c>
      <c r="H383" s="431">
        <v>7.11</v>
      </c>
      <c r="I383" s="431">
        <v>7.77</v>
      </c>
      <c r="J383" s="431">
        <v>7.52</v>
      </c>
      <c r="K383" s="431">
        <v>6.56</v>
      </c>
      <c r="L383" s="431">
        <v>6.06</v>
      </c>
      <c r="M383" s="431">
        <v>5.79</v>
      </c>
      <c r="N383" s="431">
        <v>5.14</v>
      </c>
      <c r="O383" s="431">
        <v>4.25</v>
      </c>
      <c r="P383" s="431">
        <v>3.69</v>
      </c>
      <c r="Q383" s="179">
        <f t="shared" si="9"/>
        <v>5.7566666666666677</v>
      </c>
      <c r="R383" s="179" t="s">
        <v>994</v>
      </c>
    </row>
    <row r="384" spans="1:18" x14ac:dyDescent="0.15">
      <c r="A384" s="179" t="str">
        <f t="shared" si="8"/>
        <v>Ciudad Obregon_Flat Surface_180</v>
      </c>
      <c r="B384" s="501" t="s">
        <v>1126</v>
      </c>
      <c r="C384" s="429">
        <v>0</v>
      </c>
      <c r="D384" s="429">
        <v>180</v>
      </c>
      <c r="E384" s="431">
        <v>3.97</v>
      </c>
      <c r="F384" s="431">
        <v>4.9000000000000004</v>
      </c>
      <c r="G384" s="431">
        <v>6.32</v>
      </c>
      <c r="H384" s="431">
        <v>7.11</v>
      </c>
      <c r="I384" s="431">
        <v>7.77</v>
      </c>
      <c r="J384" s="431">
        <v>7.52</v>
      </c>
      <c r="K384" s="431">
        <v>6.56</v>
      </c>
      <c r="L384" s="431">
        <v>6.06</v>
      </c>
      <c r="M384" s="431">
        <v>5.79</v>
      </c>
      <c r="N384" s="431">
        <v>5.14</v>
      </c>
      <c r="O384" s="431">
        <v>4.25</v>
      </c>
      <c r="P384" s="431">
        <v>3.69</v>
      </c>
      <c r="Q384" s="179">
        <f t="shared" si="9"/>
        <v>5.7566666666666677</v>
      </c>
      <c r="R384" s="179" t="s">
        <v>994</v>
      </c>
    </row>
    <row r="385" spans="1:18" x14ac:dyDescent="0.15">
      <c r="A385" s="179" t="str">
        <f t="shared" si="8"/>
        <v>Ciudad Obregon_Flat Surface_202.5</v>
      </c>
      <c r="B385" s="501" t="s">
        <v>1126</v>
      </c>
      <c r="C385" s="429">
        <v>0</v>
      </c>
      <c r="D385" s="429">
        <v>202.5</v>
      </c>
      <c r="E385" s="431">
        <v>3.97</v>
      </c>
      <c r="F385" s="431">
        <v>4.9000000000000004</v>
      </c>
      <c r="G385" s="431">
        <v>6.32</v>
      </c>
      <c r="H385" s="431">
        <v>7.11</v>
      </c>
      <c r="I385" s="431">
        <v>7.77</v>
      </c>
      <c r="J385" s="431">
        <v>7.52</v>
      </c>
      <c r="K385" s="431">
        <v>6.56</v>
      </c>
      <c r="L385" s="431">
        <v>6.06</v>
      </c>
      <c r="M385" s="431">
        <v>5.79</v>
      </c>
      <c r="N385" s="431">
        <v>5.14</v>
      </c>
      <c r="O385" s="431">
        <v>4.25</v>
      </c>
      <c r="P385" s="431">
        <v>3.69</v>
      </c>
      <c r="Q385" s="179">
        <f t="shared" si="9"/>
        <v>5.7566666666666677</v>
      </c>
      <c r="R385" s="179" t="s">
        <v>994</v>
      </c>
    </row>
    <row r="386" spans="1:18" x14ac:dyDescent="0.15">
      <c r="A386" s="179" t="str">
        <f t="shared" ref="A386:A449" si="10">B386&amp;"_"&amp;R386&amp;"_"&amp;D386</f>
        <v>Ciudad Obregon_Flat Surface_225</v>
      </c>
      <c r="B386" s="501" t="s">
        <v>1126</v>
      </c>
      <c r="C386" s="429">
        <v>0</v>
      </c>
      <c r="D386" s="429">
        <v>225</v>
      </c>
      <c r="E386" s="431">
        <v>3.97</v>
      </c>
      <c r="F386" s="431">
        <v>4.9000000000000004</v>
      </c>
      <c r="G386" s="431">
        <v>6.32</v>
      </c>
      <c r="H386" s="431">
        <v>7.11</v>
      </c>
      <c r="I386" s="431">
        <v>7.77</v>
      </c>
      <c r="J386" s="431">
        <v>7.52</v>
      </c>
      <c r="K386" s="431">
        <v>6.56</v>
      </c>
      <c r="L386" s="431">
        <v>6.06</v>
      </c>
      <c r="M386" s="431">
        <v>5.79</v>
      </c>
      <c r="N386" s="431">
        <v>5.14</v>
      </c>
      <c r="O386" s="431">
        <v>4.25</v>
      </c>
      <c r="P386" s="431">
        <v>3.69</v>
      </c>
      <c r="Q386" s="179">
        <f t="shared" ref="Q386:Q449" si="11">AVERAGE(E386:P386)</f>
        <v>5.7566666666666677</v>
      </c>
      <c r="R386" s="179" t="s">
        <v>994</v>
      </c>
    </row>
    <row r="387" spans="1:18" x14ac:dyDescent="0.15">
      <c r="A387" s="179" t="str">
        <f t="shared" si="10"/>
        <v>Ciudad Obregon_Flat Surface_247.5</v>
      </c>
      <c r="B387" s="501" t="s">
        <v>1126</v>
      </c>
      <c r="C387" s="429">
        <v>0</v>
      </c>
      <c r="D387" s="429">
        <v>247.5</v>
      </c>
      <c r="E387" s="431">
        <v>3.97</v>
      </c>
      <c r="F387" s="431">
        <v>4.9000000000000004</v>
      </c>
      <c r="G387" s="431">
        <v>6.32</v>
      </c>
      <c r="H387" s="431">
        <v>7.11</v>
      </c>
      <c r="I387" s="431">
        <v>7.77</v>
      </c>
      <c r="J387" s="431">
        <v>7.52</v>
      </c>
      <c r="K387" s="431">
        <v>6.56</v>
      </c>
      <c r="L387" s="431">
        <v>6.06</v>
      </c>
      <c r="M387" s="431">
        <v>5.79</v>
      </c>
      <c r="N387" s="431">
        <v>5.14</v>
      </c>
      <c r="O387" s="431">
        <v>4.25</v>
      </c>
      <c r="P387" s="431">
        <v>3.69</v>
      </c>
      <c r="Q387" s="179">
        <f t="shared" si="11"/>
        <v>5.7566666666666677</v>
      </c>
      <c r="R387" s="179" t="s">
        <v>994</v>
      </c>
    </row>
    <row r="388" spans="1:18" x14ac:dyDescent="0.15">
      <c r="A388" s="179" t="str">
        <f t="shared" si="10"/>
        <v>Ciudad Obregon_Flat Surface_270</v>
      </c>
      <c r="B388" s="501" t="s">
        <v>1126</v>
      </c>
      <c r="C388" s="429">
        <v>0</v>
      </c>
      <c r="D388" s="429">
        <v>270</v>
      </c>
      <c r="E388" s="431">
        <v>3.97</v>
      </c>
      <c r="F388" s="431">
        <v>4.9000000000000004</v>
      </c>
      <c r="G388" s="431">
        <v>6.32</v>
      </c>
      <c r="H388" s="431">
        <v>7.11</v>
      </c>
      <c r="I388" s="431">
        <v>7.77</v>
      </c>
      <c r="J388" s="431">
        <v>7.52</v>
      </c>
      <c r="K388" s="431">
        <v>6.56</v>
      </c>
      <c r="L388" s="431">
        <v>6.06</v>
      </c>
      <c r="M388" s="431">
        <v>5.79</v>
      </c>
      <c r="N388" s="431">
        <v>5.14</v>
      </c>
      <c r="O388" s="431">
        <v>4.25</v>
      </c>
      <c r="P388" s="431">
        <v>3.69</v>
      </c>
      <c r="Q388" s="179">
        <f t="shared" si="11"/>
        <v>5.7566666666666677</v>
      </c>
      <c r="R388" s="179" t="s">
        <v>994</v>
      </c>
    </row>
    <row r="389" spans="1:18" x14ac:dyDescent="0.15">
      <c r="A389" s="179" t="str">
        <f t="shared" si="10"/>
        <v>Ciudad Obregon_Optimal Summer_90</v>
      </c>
      <c r="B389" s="501" t="s">
        <v>1126</v>
      </c>
      <c r="C389" s="429">
        <v>13</v>
      </c>
      <c r="D389" s="429">
        <v>90</v>
      </c>
      <c r="E389" s="431">
        <v>3.79</v>
      </c>
      <c r="F389" s="431">
        <v>4.4800000000000004</v>
      </c>
      <c r="G389" s="431">
        <v>5.47</v>
      </c>
      <c r="H389" s="431">
        <v>5.83</v>
      </c>
      <c r="I389" s="431">
        <v>6.1</v>
      </c>
      <c r="J389" s="431">
        <v>5.82</v>
      </c>
      <c r="K389" s="431">
        <v>5.12</v>
      </c>
      <c r="L389" s="431">
        <v>4.8600000000000003</v>
      </c>
      <c r="M389" s="431">
        <v>4.87</v>
      </c>
      <c r="N389" s="431">
        <v>4.59</v>
      </c>
      <c r="O389" s="431">
        <v>4.0199999999999996</v>
      </c>
      <c r="P389" s="431">
        <v>3.58</v>
      </c>
      <c r="Q389" s="179">
        <f t="shared" si="11"/>
        <v>4.8774999999999986</v>
      </c>
      <c r="R389" s="179" t="s">
        <v>958</v>
      </c>
    </row>
    <row r="390" spans="1:18" x14ac:dyDescent="0.15">
      <c r="A390" s="179" t="str">
        <f t="shared" si="10"/>
        <v>Ciudad Obregon_Optimal Summer_112.5</v>
      </c>
      <c r="B390" s="501" t="s">
        <v>1126</v>
      </c>
      <c r="C390" s="429">
        <v>13</v>
      </c>
      <c r="D390" s="429">
        <v>112.5</v>
      </c>
      <c r="E390" s="431">
        <v>4.1500000000000004</v>
      </c>
      <c r="F390" s="431">
        <v>4.9000000000000004</v>
      </c>
      <c r="G390" s="431">
        <v>5.98</v>
      </c>
      <c r="H390" s="431">
        <v>6.38</v>
      </c>
      <c r="I390" s="431">
        <v>6.67</v>
      </c>
      <c r="J390" s="431">
        <v>6.36</v>
      </c>
      <c r="K390" s="431">
        <v>5.6</v>
      </c>
      <c r="L390" s="431">
        <v>5.31</v>
      </c>
      <c r="M390" s="431">
        <v>5.33</v>
      </c>
      <c r="N390" s="431">
        <v>5.0199999999999996</v>
      </c>
      <c r="O390" s="431">
        <v>4.4000000000000004</v>
      </c>
      <c r="P390" s="431">
        <v>3.92</v>
      </c>
      <c r="Q390" s="179">
        <f t="shared" si="11"/>
        <v>5.335</v>
      </c>
      <c r="R390" s="179" t="s">
        <v>958</v>
      </c>
    </row>
    <row r="391" spans="1:18" x14ac:dyDescent="0.15">
      <c r="A391" s="179" t="str">
        <f t="shared" si="10"/>
        <v>Ciudad Obregon_Optimal Summer_135</v>
      </c>
      <c r="B391" s="501" t="s">
        <v>1126</v>
      </c>
      <c r="C391" s="429">
        <v>13</v>
      </c>
      <c r="D391" s="429">
        <v>135</v>
      </c>
      <c r="E391" s="431">
        <v>4.5</v>
      </c>
      <c r="F391" s="431">
        <v>5.32</v>
      </c>
      <c r="G391" s="431">
        <v>6.5</v>
      </c>
      <c r="H391" s="431">
        <v>6.93</v>
      </c>
      <c r="I391" s="431">
        <v>7.24</v>
      </c>
      <c r="J391" s="431">
        <v>6.91</v>
      </c>
      <c r="K391" s="431">
        <v>6.08</v>
      </c>
      <c r="L391" s="431">
        <v>5.77</v>
      </c>
      <c r="M391" s="431">
        <v>5.79</v>
      </c>
      <c r="N391" s="431">
        <v>5.45</v>
      </c>
      <c r="O391" s="431">
        <v>4.78</v>
      </c>
      <c r="P391" s="431">
        <v>4.26</v>
      </c>
      <c r="Q391" s="179">
        <f t="shared" si="11"/>
        <v>5.7941666666666665</v>
      </c>
      <c r="R391" s="179" t="s">
        <v>958</v>
      </c>
    </row>
    <row r="392" spans="1:18" x14ac:dyDescent="0.15">
      <c r="A392" s="179" t="str">
        <f t="shared" si="10"/>
        <v>Ciudad Obregon_Optimal Summer_157.5</v>
      </c>
      <c r="B392" s="501" t="s">
        <v>1126</v>
      </c>
      <c r="C392" s="429">
        <v>13</v>
      </c>
      <c r="D392" s="429">
        <v>157.5</v>
      </c>
      <c r="E392" s="431">
        <v>4.62</v>
      </c>
      <c r="F392" s="431">
        <v>5.46</v>
      </c>
      <c r="G392" s="431">
        <v>6.67</v>
      </c>
      <c r="H392" s="431">
        <v>7.11</v>
      </c>
      <c r="I392" s="431">
        <v>7.43</v>
      </c>
      <c r="J392" s="431">
        <v>7.09</v>
      </c>
      <c r="K392" s="431">
        <v>6.24</v>
      </c>
      <c r="L392" s="431">
        <v>5.92</v>
      </c>
      <c r="M392" s="431">
        <v>5.94</v>
      </c>
      <c r="N392" s="431">
        <v>5.6</v>
      </c>
      <c r="O392" s="431">
        <v>4.9000000000000004</v>
      </c>
      <c r="P392" s="431">
        <v>4.37</v>
      </c>
      <c r="Q392" s="179">
        <f t="shared" si="11"/>
        <v>5.9458333333333337</v>
      </c>
      <c r="R392" s="179" t="s">
        <v>958</v>
      </c>
    </row>
    <row r="393" spans="1:18" x14ac:dyDescent="0.15">
      <c r="A393" s="179" t="str">
        <f t="shared" si="10"/>
        <v>Ciudad Obregon_Optimal Summer_180</v>
      </c>
      <c r="B393" s="501" t="s">
        <v>1126</v>
      </c>
      <c r="C393" s="429">
        <v>13</v>
      </c>
      <c r="D393" s="429">
        <v>180</v>
      </c>
      <c r="E393" s="431">
        <v>4.74</v>
      </c>
      <c r="F393" s="431">
        <v>5.6</v>
      </c>
      <c r="G393" s="431">
        <v>6.84</v>
      </c>
      <c r="H393" s="431">
        <v>7.29</v>
      </c>
      <c r="I393" s="431">
        <v>7.62</v>
      </c>
      <c r="J393" s="431">
        <v>7.27</v>
      </c>
      <c r="K393" s="431">
        <v>6.4</v>
      </c>
      <c r="L393" s="431">
        <v>6.07</v>
      </c>
      <c r="M393" s="431">
        <v>6.09</v>
      </c>
      <c r="N393" s="431">
        <v>5.74</v>
      </c>
      <c r="O393" s="431">
        <v>5.03</v>
      </c>
      <c r="P393" s="431">
        <v>4.4800000000000004</v>
      </c>
      <c r="Q393" s="179">
        <f t="shared" si="11"/>
        <v>6.0975000000000001</v>
      </c>
      <c r="R393" s="179" t="s">
        <v>958</v>
      </c>
    </row>
    <row r="394" spans="1:18" x14ac:dyDescent="0.15">
      <c r="A394" s="179" t="str">
        <f t="shared" si="10"/>
        <v>Ciudad Obregon_Optimal Summer_202.5</v>
      </c>
      <c r="B394" s="501" t="s">
        <v>1126</v>
      </c>
      <c r="C394" s="429">
        <v>13</v>
      </c>
      <c r="D394" s="429">
        <v>202.5</v>
      </c>
      <c r="E394" s="431">
        <v>4.62</v>
      </c>
      <c r="F394" s="431">
        <v>5.46</v>
      </c>
      <c r="G394" s="431">
        <v>6.67</v>
      </c>
      <c r="H394" s="431">
        <v>7.11</v>
      </c>
      <c r="I394" s="431">
        <v>7.43</v>
      </c>
      <c r="J394" s="431">
        <v>7.09</v>
      </c>
      <c r="K394" s="431">
        <v>6.24</v>
      </c>
      <c r="L394" s="431">
        <v>5.92</v>
      </c>
      <c r="M394" s="431">
        <v>5.94</v>
      </c>
      <c r="N394" s="431">
        <v>5.6</v>
      </c>
      <c r="O394" s="431">
        <v>4.9000000000000004</v>
      </c>
      <c r="P394" s="431">
        <v>4.37</v>
      </c>
      <c r="Q394" s="179">
        <f t="shared" si="11"/>
        <v>5.9458333333333337</v>
      </c>
      <c r="R394" s="179" t="s">
        <v>958</v>
      </c>
    </row>
    <row r="395" spans="1:18" x14ac:dyDescent="0.15">
      <c r="A395" s="179" t="str">
        <f t="shared" si="10"/>
        <v>Ciudad Obregon_Optimal Summer_225</v>
      </c>
      <c r="B395" s="501" t="s">
        <v>1126</v>
      </c>
      <c r="C395" s="429">
        <v>13</v>
      </c>
      <c r="D395" s="429">
        <v>225</v>
      </c>
      <c r="E395" s="431">
        <v>4.5</v>
      </c>
      <c r="F395" s="431">
        <v>5.32</v>
      </c>
      <c r="G395" s="431">
        <v>6.5</v>
      </c>
      <c r="H395" s="431">
        <v>6.93</v>
      </c>
      <c r="I395" s="431">
        <v>7.24</v>
      </c>
      <c r="J395" s="431">
        <v>6.91</v>
      </c>
      <c r="K395" s="431">
        <v>6.08</v>
      </c>
      <c r="L395" s="431">
        <v>5.77</v>
      </c>
      <c r="M395" s="431">
        <v>5.79</v>
      </c>
      <c r="N395" s="431">
        <v>5.45</v>
      </c>
      <c r="O395" s="431">
        <v>4.78</v>
      </c>
      <c r="P395" s="431">
        <v>4.26</v>
      </c>
      <c r="Q395" s="179">
        <f t="shared" si="11"/>
        <v>5.7941666666666665</v>
      </c>
      <c r="R395" s="179" t="s">
        <v>958</v>
      </c>
    </row>
    <row r="396" spans="1:18" x14ac:dyDescent="0.15">
      <c r="A396" s="179" t="str">
        <f t="shared" si="10"/>
        <v>Ciudad Obregon_Optimal Summer_247.5</v>
      </c>
      <c r="B396" s="501" t="s">
        <v>1126</v>
      </c>
      <c r="C396" s="429">
        <v>13</v>
      </c>
      <c r="D396" s="429">
        <v>247.5</v>
      </c>
      <c r="E396" s="431">
        <v>4.1500000000000004</v>
      </c>
      <c r="F396" s="431">
        <v>4.9000000000000004</v>
      </c>
      <c r="G396" s="431">
        <v>5.98</v>
      </c>
      <c r="H396" s="431">
        <v>6.38</v>
      </c>
      <c r="I396" s="431">
        <v>6.67</v>
      </c>
      <c r="J396" s="431">
        <v>6.36</v>
      </c>
      <c r="K396" s="431">
        <v>5.6</v>
      </c>
      <c r="L396" s="431">
        <v>5.31</v>
      </c>
      <c r="M396" s="431">
        <v>5.33</v>
      </c>
      <c r="N396" s="431">
        <v>5.0199999999999996</v>
      </c>
      <c r="O396" s="431">
        <v>4.4000000000000004</v>
      </c>
      <c r="P396" s="431">
        <v>3.92</v>
      </c>
      <c r="Q396" s="179">
        <f t="shared" si="11"/>
        <v>5.335</v>
      </c>
      <c r="R396" s="179" t="s">
        <v>958</v>
      </c>
    </row>
    <row r="397" spans="1:18" x14ac:dyDescent="0.15">
      <c r="A397" s="179" t="str">
        <f t="shared" si="10"/>
        <v>Ciudad Obregon_Optimal Summer_270</v>
      </c>
      <c r="B397" s="501" t="s">
        <v>1126</v>
      </c>
      <c r="C397" s="429">
        <v>13</v>
      </c>
      <c r="D397" s="429">
        <v>270</v>
      </c>
      <c r="E397" s="431">
        <v>3.79</v>
      </c>
      <c r="F397" s="431">
        <v>4.4800000000000004</v>
      </c>
      <c r="G397" s="431">
        <v>5.47</v>
      </c>
      <c r="H397" s="431">
        <v>5.83</v>
      </c>
      <c r="I397" s="431">
        <v>6.1</v>
      </c>
      <c r="J397" s="431">
        <v>5.82</v>
      </c>
      <c r="K397" s="431">
        <v>5.12</v>
      </c>
      <c r="L397" s="431">
        <v>4.8600000000000003</v>
      </c>
      <c r="M397" s="431">
        <v>4.87</v>
      </c>
      <c r="N397" s="431">
        <v>4.59</v>
      </c>
      <c r="O397" s="431">
        <v>4.0199999999999996</v>
      </c>
      <c r="P397" s="431">
        <v>3.58</v>
      </c>
      <c r="Q397" s="179">
        <f t="shared" si="11"/>
        <v>4.8774999999999986</v>
      </c>
      <c r="R397" s="179" t="s">
        <v>958</v>
      </c>
    </row>
    <row r="398" spans="1:18" x14ac:dyDescent="0.15">
      <c r="A398" s="179" t="str">
        <f t="shared" si="10"/>
        <v>Ciudad Obregon_Optimal Year Round_90</v>
      </c>
      <c r="B398" s="501" t="s">
        <v>1126</v>
      </c>
      <c r="C398" s="429">
        <v>28</v>
      </c>
      <c r="D398" s="429">
        <v>90</v>
      </c>
      <c r="E398" s="431">
        <v>4.38</v>
      </c>
      <c r="F398" s="431">
        <v>4.95</v>
      </c>
      <c r="G398" s="431">
        <v>5.72</v>
      </c>
      <c r="H398" s="431">
        <v>5.73</v>
      </c>
      <c r="I398" s="431">
        <v>5.66</v>
      </c>
      <c r="J398" s="431">
        <v>5.3</v>
      </c>
      <c r="K398" s="431">
        <v>4.74</v>
      </c>
      <c r="L398" s="431">
        <v>4.66</v>
      </c>
      <c r="M398" s="431">
        <v>4.9400000000000004</v>
      </c>
      <c r="N398" s="431">
        <v>4.97</v>
      </c>
      <c r="O398" s="431">
        <v>4.59</v>
      </c>
      <c r="P398" s="431">
        <v>4.18</v>
      </c>
      <c r="Q398" s="179">
        <f t="shared" si="11"/>
        <v>4.9850000000000003</v>
      </c>
      <c r="R398" s="179" t="s">
        <v>993</v>
      </c>
    </row>
    <row r="399" spans="1:18" x14ac:dyDescent="0.15">
      <c r="A399" s="179" t="str">
        <f t="shared" si="10"/>
        <v>Ciudad Obregon_Optimal Year Round_112.5</v>
      </c>
      <c r="B399" s="501" t="s">
        <v>1126</v>
      </c>
      <c r="C399" s="429">
        <v>28</v>
      </c>
      <c r="D399" s="429">
        <v>112.5</v>
      </c>
      <c r="E399" s="431">
        <v>4.79</v>
      </c>
      <c r="F399" s="431">
        <v>5.42</v>
      </c>
      <c r="G399" s="431">
        <v>6.26</v>
      </c>
      <c r="H399" s="431">
        <v>6.26</v>
      </c>
      <c r="I399" s="431">
        <v>6.2</v>
      </c>
      <c r="J399" s="431">
        <v>5.79</v>
      </c>
      <c r="K399" s="431">
        <v>5.19</v>
      </c>
      <c r="L399" s="431">
        <v>5.09</v>
      </c>
      <c r="M399" s="431">
        <v>5.41</v>
      </c>
      <c r="N399" s="431">
        <v>5.43</v>
      </c>
      <c r="O399" s="431">
        <v>5.0199999999999996</v>
      </c>
      <c r="P399" s="431">
        <v>4.58</v>
      </c>
      <c r="Q399" s="179">
        <f t="shared" si="11"/>
        <v>5.4533333333333331</v>
      </c>
      <c r="R399" s="179" t="s">
        <v>993</v>
      </c>
    </row>
    <row r="400" spans="1:18" x14ac:dyDescent="0.15">
      <c r="A400" s="179" t="str">
        <f t="shared" si="10"/>
        <v>Ciudad Obregon_Optimal Year Round_135</v>
      </c>
      <c r="B400" s="501" t="s">
        <v>1126</v>
      </c>
      <c r="C400" s="429">
        <v>28</v>
      </c>
      <c r="D400" s="429">
        <v>135</v>
      </c>
      <c r="E400" s="431">
        <v>5.2</v>
      </c>
      <c r="F400" s="431">
        <v>5.88</v>
      </c>
      <c r="G400" s="431">
        <v>6.79</v>
      </c>
      <c r="H400" s="431">
        <v>6.8</v>
      </c>
      <c r="I400" s="431">
        <v>6.73</v>
      </c>
      <c r="J400" s="431">
        <v>6.29</v>
      </c>
      <c r="K400" s="431">
        <v>5.63</v>
      </c>
      <c r="L400" s="431">
        <v>5.53</v>
      </c>
      <c r="M400" s="431">
        <v>5.87</v>
      </c>
      <c r="N400" s="431">
        <v>5.9</v>
      </c>
      <c r="O400" s="431">
        <v>5.45</v>
      </c>
      <c r="P400" s="431">
        <v>4.97</v>
      </c>
      <c r="Q400" s="179">
        <f t="shared" si="11"/>
        <v>5.9200000000000008</v>
      </c>
      <c r="R400" s="179" t="s">
        <v>993</v>
      </c>
    </row>
    <row r="401" spans="1:18" x14ac:dyDescent="0.15">
      <c r="A401" s="179" t="str">
        <f t="shared" si="10"/>
        <v>Ciudad Obregon_Optimal Year Round_157.5</v>
      </c>
      <c r="B401" s="501" t="s">
        <v>1126</v>
      </c>
      <c r="C401" s="429">
        <v>28</v>
      </c>
      <c r="D401" s="429">
        <v>157.5</v>
      </c>
      <c r="E401" s="431">
        <v>5.33</v>
      </c>
      <c r="F401" s="431">
        <v>6.04</v>
      </c>
      <c r="G401" s="431">
        <v>6.97</v>
      </c>
      <c r="H401" s="431">
        <v>6.98</v>
      </c>
      <c r="I401" s="431">
        <v>6.9</v>
      </c>
      <c r="J401" s="431">
        <v>6.45</v>
      </c>
      <c r="K401" s="431">
        <v>5.78</v>
      </c>
      <c r="L401" s="431">
        <v>5.67</v>
      </c>
      <c r="M401" s="431">
        <v>6.03</v>
      </c>
      <c r="N401" s="431">
        <v>6.05</v>
      </c>
      <c r="O401" s="431">
        <v>5.6</v>
      </c>
      <c r="P401" s="431">
        <v>5.0999999999999996</v>
      </c>
      <c r="Q401" s="179">
        <f t="shared" si="11"/>
        <v>6.0749999999999993</v>
      </c>
      <c r="R401" s="179" t="s">
        <v>993</v>
      </c>
    </row>
    <row r="402" spans="1:18" x14ac:dyDescent="0.15">
      <c r="A402" s="179" t="str">
        <f t="shared" si="10"/>
        <v>Ciudad Obregon_Optimal Year Round_180</v>
      </c>
      <c r="B402" s="501" t="s">
        <v>1126</v>
      </c>
      <c r="C402" s="429">
        <v>28</v>
      </c>
      <c r="D402" s="429">
        <v>180</v>
      </c>
      <c r="E402" s="431">
        <v>5.47</v>
      </c>
      <c r="F402" s="431">
        <v>6.19</v>
      </c>
      <c r="G402" s="431">
        <v>7.15</v>
      </c>
      <c r="H402" s="431">
        <v>7.16</v>
      </c>
      <c r="I402" s="431">
        <v>7.08</v>
      </c>
      <c r="J402" s="431">
        <v>6.62</v>
      </c>
      <c r="K402" s="431">
        <v>5.93</v>
      </c>
      <c r="L402" s="431">
        <v>5.82</v>
      </c>
      <c r="M402" s="431">
        <v>6.18</v>
      </c>
      <c r="N402" s="431">
        <v>6.21</v>
      </c>
      <c r="O402" s="431">
        <v>5.74</v>
      </c>
      <c r="P402" s="431">
        <v>5.23</v>
      </c>
      <c r="Q402" s="179">
        <f t="shared" si="11"/>
        <v>6.2316666666666665</v>
      </c>
      <c r="R402" s="179" t="s">
        <v>993</v>
      </c>
    </row>
    <row r="403" spans="1:18" x14ac:dyDescent="0.15">
      <c r="A403" s="179" t="str">
        <f t="shared" si="10"/>
        <v>Ciudad Obregon_Optimal Year Round_202.5</v>
      </c>
      <c r="B403" s="501" t="s">
        <v>1126</v>
      </c>
      <c r="C403" s="429">
        <v>28</v>
      </c>
      <c r="D403" s="429">
        <v>202.5</v>
      </c>
      <c r="E403" s="431">
        <v>5.33</v>
      </c>
      <c r="F403" s="431">
        <v>6.04</v>
      </c>
      <c r="G403" s="431">
        <v>6.97</v>
      </c>
      <c r="H403" s="431">
        <v>6.98</v>
      </c>
      <c r="I403" s="431">
        <v>6.9</v>
      </c>
      <c r="J403" s="431">
        <v>6.45</v>
      </c>
      <c r="K403" s="431">
        <v>5.78</v>
      </c>
      <c r="L403" s="431">
        <v>5.67</v>
      </c>
      <c r="M403" s="431">
        <v>6.03</v>
      </c>
      <c r="N403" s="431">
        <v>6.05</v>
      </c>
      <c r="O403" s="431">
        <v>5.6</v>
      </c>
      <c r="P403" s="431">
        <v>5.0999999999999996</v>
      </c>
      <c r="Q403" s="179">
        <f t="shared" si="11"/>
        <v>6.0749999999999993</v>
      </c>
      <c r="R403" s="179" t="s">
        <v>993</v>
      </c>
    </row>
    <row r="404" spans="1:18" x14ac:dyDescent="0.15">
      <c r="A404" s="179" t="str">
        <f t="shared" si="10"/>
        <v>Ciudad Obregon_Optimal Year Round_225</v>
      </c>
      <c r="B404" s="501" t="s">
        <v>1126</v>
      </c>
      <c r="C404" s="429">
        <v>28</v>
      </c>
      <c r="D404" s="429">
        <v>225</v>
      </c>
      <c r="E404" s="431">
        <v>5.2</v>
      </c>
      <c r="F404" s="431">
        <v>5.88</v>
      </c>
      <c r="G404" s="431">
        <v>6.79</v>
      </c>
      <c r="H404" s="431">
        <v>6.8</v>
      </c>
      <c r="I404" s="431">
        <v>6.73</v>
      </c>
      <c r="J404" s="431">
        <v>6.29</v>
      </c>
      <c r="K404" s="431">
        <v>5.63</v>
      </c>
      <c r="L404" s="431">
        <v>5.53</v>
      </c>
      <c r="M404" s="431">
        <v>5.87</v>
      </c>
      <c r="N404" s="431">
        <v>5.9</v>
      </c>
      <c r="O404" s="431">
        <v>5.45</v>
      </c>
      <c r="P404" s="431">
        <v>4.97</v>
      </c>
      <c r="Q404" s="179">
        <f t="shared" si="11"/>
        <v>5.9200000000000008</v>
      </c>
      <c r="R404" s="179" t="s">
        <v>993</v>
      </c>
    </row>
    <row r="405" spans="1:18" x14ac:dyDescent="0.15">
      <c r="A405" s="179" t="str">
        <f t="shared" si="10"/>
        <v>Ciudad Obregon_Optimal Year Round_247.5</v>
      </c>
      <c r="B405" s="501" t="s">
        <v>1126</v>
      </c>
      <c r="C405" s="429">
        <v>28</v>
      </c>
      <c r="D405" s="429">
        <v>247.5</v>
      </c>
      <c r="E405" s="431">
        <v>4.79</v>
      </c>
      <c r="F405" s="431">
        <v>5.42</v>
      </c>
      <c r="G405" s="431">
        <v>6.26</v>
      </c>
      <c r="H405" s="431">
        <v>6.26</v>
      </c>
      <c r="I405" s="431">
        <v>6.2</v>
      </c>
      <c r="J405" s="431">
        <v>5.79</v>
      </c>
      <c r="K405" s="431">
        <v>5.19</v>
      </c>
      <c r="L405" s="431">
        <v>5.09</v>
      </c>
      <c r="M405" s="431">
        <v>5.41</v>
      </c>
      <c r="N405" s="431">
        <v>5.43</v>
      </c>
      <c r="O405" s="431">
        <v>5.0199999999999996</v>
      </c>
      <c r="P405" s="431">
        <v>4.58</v>
      </c>
      <c r="Q405" s="179">
        <f t="shared" si="11"/>
        <v>5.4533333333333331</v>
      </c>
      <c r="R405" s="179" t="s">
        <v>993</v>
      </c>
    </row>
    <row r="406" spans="1:18" x14ac:dyDescent="0.15">
      <c r="A406" s="179" t="str">
        <f t="shared" si="10"/>
        <v>Ciudad Obregon_Optimal Year Round_270</v>
      </c>
      <c r="B406" s="501" t="s">
        <v>1126</v>
      </c>
      <c r="C406" s="429">
        <v>28</v>
      </c>
      <c r="D406" s="429">
        <v>270</v>
      </c>
      <c r="E406" s="431">
        <v>4.38</v>
      </c>
      <c r="F406" s="431">
        <v>4.95</v>
      </c>
      <c r="G406" s="431">
        <v>5.72</v>
      </c>
      <c r="H406" s="431">
        <v>5.73</v>
      </c>
      <c r="I406" s="431">
        <v>5.66</v>
      </c>
      <c r="J406" s="431">
        <v>5.3</v>
      </c>
      <c r="K406" s="431">
        <v>4.74</v>
      </c>
      <c r="L406" s="431">
        <v>4.66</v>
      </c>
      <c r="M406" s="431">
        <v>4.9400000000000004</v>
      </c>
      <c r="N406" s="431">
        <v>4.97</v>
      </c>
      <c r="O406" s="431">
        <v>4.59</v>
      </c>
      <c r="P406" s="431">
        <v>4.18</v>
      </c>
      <c r="Q406" s="179">
        <f t="shared" si="11"/>
        <v>4.9850000000000003</v>
      </c>
      <c r="R406" s="179" t="s">
        <v>993</v>
      </c>
    </row>
    <row r="407" spans="1:18" x14ac:dyDescent="0.15">
      <c r="A407" s="179" t="str">
        <f t="shared" si="10"/>
        <v>Ciudad Victoria_Flat Surface_90</v>
      </c>
      <c r="B407" s="501" t="s">
        <v>1127</v>
      </c>
      <c r="C407" s="429">
        <v>0</v>
      </c>
      <c r="D407" s="429">
        <v>90</v>
      </c>
      <c r="E407" s="431">
        <v>3.9</v>
      </c>
      <c r="F407" s="431">
        <v>4.74</v>
      </c>
      <c r="G407" s="431">
        <v>5.75</v>
      </c>
      <c r="H407" s="431">
        <v>5.91</v>
      </c>
      <c r="I407" s="431">
        <v>6.28</v>
      </c>
      <c r="J407" s="431">
        <v>6.14</v>
      </c>
      <c r="K407" s="431">
        <v>6.08</v>
      </c>
      <c r="L407" s="431">
        <v>5.79</v>
      </c>
      <c r="M407" s="431">
        <v>5.08</v>
      </c>
      <c r="N407" s="431">
        <v>4.78</v>
      </c>
      <c r="O407" s="431">
        <v>4.32</v>
      </c>
      <c r="P407" s="431">
        <v>3.75</v>
      </c>
      <c r="Q407" s="179">
        <f t="shared" si="11"/>
        <v>5.21</v>
      </c>
      <c r="R407" s="179" t="s">
        <v>994</v>
      </c>
    </row>
    <row r="408" spans="1:18" x14ac:dyDescent="0.15">
      <c r="A408" s="179" t="str">
        <f t="shared" si="10"/>
        <v>Ciudad Victoria_Flat Surface_112.5</v>
      </c>
      <c r="B408" s="501" t="s">
        <v>1127</v>
      </c>
      <c r="C408" s="429">
        <v>0</v>
      </c>
      <c r="D408" s="429">
        <v>112.5</v>
      </c>
      <c r="E408" s="431">
        <v>3.9</v>
      </c>
      <c r="F408" s="431">
        <v>4.74</v>
      </c>
      <c r="G408" s="431">
        <v>5.75</v>
      </c>
      <c r="H408" s="431">
        <v>5.91</v>
      </c>
      <c r="I408" s="431">
        <v>6.28</v>
      </c>
      <c r="J408" s="431">
        <v>6.14</v>
      </c>
      <c r="K408" s="431">
        <v>6.08</v>
      </c>
      <c r="L408" s="431">
        <v>5.79</v>
      </c>
      <c r="M408" s="431">
        <v>5.08</v>
      </c>
      <c r="N408" s="431">
        <v>4.78</v>
      </c>
      <c r="O408" s="431">
        <v>4.32</v>
      </c>
      <c r="P408" s="431">
        <v>3.75</v>
      </c>
      <c r="Q408" s="179">
        <f t="shared" si="11"/>
        <v>5.21</v>
      </c>
      <c r="R408" s="179" t="s">
        <v>994</v>
      </c>
    </row>
    <row r="409" spans="1:18" x14ac:dyDescent="0.15">
      <c r="A409" s="179" t="str">
        <f t="shared" si="10"/>
        <v>Ciudad Victoria_Flat Surface_135</v>
      </c>
      <c r="B409" s="501" t="s">
        <v>1127</v>
      </c>
      <c r="C409" s="429">
        <v>0</v>
      </c>
      <c r="D409" s="429">
        <v>135</v>
      </c>
      <c r="E409" s="431">
        <v>3.9</v>
      </c>
      <c r="F409" s="431">
        <v>4.74</v>
      </c>
      <c r="G409" s="431">
        <v>5.75</v>
      </c>
      <c r="H409" s="431">
        <v>5.91</v>
      </c>
      <c r="I409" s="431">
        <v>6.28</v>
      </c>
      <c r="J409" s="431">
        <v>6.14</v>
      </c>
      <c r="K409" s="431">
        <v>6.08</v>
      </c>
      <c r="L409" s="431">
        <v>5.79</v>
      </c>
      <c r="M409" s="431">
        <v>5.08</v>
      </c>
      <c r="N409" s="431">
        <v>4.78</v>
      </c>
      <c r="O409" s="431">
        <v>4.32</v>
      </c>
      <c r="P409" s="431">
        <v>3.75</v>
      </c>
      <c r="Q409" s="179">
        <f t="shared" si="11"/>
        <v>5.21</v>
      </c>
      <c r="R409" s="179" t="s">
        <v>994</v>
      </c>
    </row>
    <row r="410" spans="1:18" x14ac:dyDescent="0.15">
      <c r="A410" s="179" t="str">
        <f t="shared" si="10"/>
        <v>Ciudad Victoria_Flat Surface_157.5</v>
      </c>
      <c r="B410" s="501" t="s">
        <v>1127</v>
      </c>
      <c r="C410" s="429">
        <v>0</v>
      </c>
      <c r="D410" s="429">
        <v>157.5</v>
      </c>
      <c r="E410" s="431">
        <v>3.9</v>
      </c>
      <c r="F410" s="431">
        <v>4.74</v>
      </c>
      <c r="G410" s="431">
        <v>5.75</v>
      </c>
      <c r="H410" s="431">
        <v>5.91</v>
      </c>
      <c r="I410" s="431">
        <v>6.28</v>
      </c>
      <c r="J410" s="431">
        <v>6.14</v>
      </c>
      <c r="K410" s="431">
        <v>6.08</v>
      </c>
      <c r="L410" s="431">
        <v>5.79</v>
      </c>
      <c r="M410" s="431">
        <v>5.08</v>
      </c>
      <c r="N410" s="431">
        <v>4.78</v>
      </c>
      <c r="O410" s="431">
        <v>4.32</v>
      </c>
      <c r="P410" s="431">
        <v>3.75</v>
      </c>
      <c r="Q410" s="179">
        <f t="shared" si="11"/>
        <v>5.21</v>
      </c>
      <c r="R410" s="179" t="s">
        <v>994</v>
      </c>
    </row>
    <row r="411" spans="1:18" x14ac:dyDescent="0.15">
      <c r="A411" s="179" t="str">
        <f t="shared" si="10"/>
        <v>Ciudad Victoria_Flat Surface_180</v>
      </c>
      <c r="B411" s="501" t="s">
        <v>1127</v>
      </c>
      <c r="C411" s="429">
        <v>0</v>
      </c>
      <c r="D411" s="429">
        <v>180</v>
      </c>
      <c r="E411" s="431">
        <v>3.9</v>
      </c>
      <c r="F411" s="431">
        <v>4.74</v>
      </c>
      <c r="G411" s="431">
        <v>5.75</v>
      </c>
      <c r="H411" s="431">
        <v>5.91</v>
      </c>
      <c r="I411" s="431">
        <v>6.28</v>
      </c>
      <c r="J411" s="431">
        <v>6.14</v>
      </c>
      <c r="K411" s="431">
        <v>6.08</v>
      </c>
      <c r="L411" s="431">
        <v>5.79</v>
      </c>
      <c r="M411" s="431">
        <v>5.08</v>
      </c>
      <c r="N411" s="431">
        <v>4.78</v>
      </c>
      <c r="O411" s="431">
        <v>4.32</v>
      </c>
      <c r="P411" s="431">
        <v>3.75</v>
      </c>
      <c r="Q411" s="179">
        <f t="shared" si="11"/>
        <v>5.21</v>
      </c>
      <c r="R411" s="179" t="s">
        <v>994</v>
      </c>
    </row>
    <row r="412" spans="1:18" x14ac:dyDescent="0.15">
      <c r="A412" s="179" t="str">
        <f t="shared" si="10"/>
        <v>Ciudad Victoria_Flat Surface_202.5</v>
      </c>
      <c r="B412" s="501" t="s">
        <v>1127</v>
      </c>
      <c r="C412" s="429">
        <v>0</v>
      </c>
      <c r="D412" s="429">
        <v>202.5</v>
      </c>
      <c r="E412" s="431">
        <v>3.9</v>
      </c>
      <c r="F412" s="431">
        <v>4.74</v>
      </c>
      <c r="G412" s="431">
        <v>5.75</v>
      </c>
      <c r="H412" s="431">
        <v>5.91</v>
      </c>
      <c r="I412" s="431">
        <v>6.28</v>
      </c>
      <c r="J412" s="431">
        <v>6.14</v>
      </c>
      <c r="K412" s="431">
        <v>6.08</v>
      </c>
      <c r="L412" s="431">
        <v>5.79</v>
      </c>
      <c r="M412" s="431">
        <v>5.08</v>
      </c>
      <c r="N412" s="431">
        <v>4.78</v>
      </c>
      <c r="O412" s="431">
        <v>4.32</v>
      </c>
      <c r="P412" s="431">
        <v>3.75</v>
      </c>
      <c r="Q412" s="179">
        <f t="shared" si="11"/>
        <v>5.21</v>
      </c>
      <c r="R412" s="179" t="s">
        <v>994</v>
      </c>
    </row>
    <row r="413" spans="1:18" x14ac:dyDescent="0.15">
      <c r="A413" s="179" t="str">
        <f t="shared" si="10"/>
        <v>Ciudad Victoria_Flat Surface_225</v>
      </c>
      <c r="B413" s="501" t="s">
        <v>1127</v>
      </c>
      <c r="C413" s="429">
        <v>0</v>
      </c>
      <c r="D413" s="429">
        <v>225</v>
      </c>
      <c r="E413" s="431">
        <v>3.9</v>
      </c>
      <c r="F413" s="431">
        <v>4.74</v>
      </c>
      <c r="G413" s="431">
        <v>5.75</v>
      </c>
      <c r="H413" s="431">
        <v>5.91</v>
      </c>
      <c r="I413" s="431">
        <v>6.28</v>
      </c>
      <c r="J413" s="431">
        <v>6.14</v>
      </c>
      <c r="K413" s="431">
        <v>6.08</v>
      </c>
      <c r="L413" s="431">
        <v>5.79</v>
      </c>
      <c r="M413" s="431">
        <v>5.08</v>
      </c>
      <c r="N413" s="431">
        <v>4.78</v>
      </c>
      <c r="O413" s="431">
        <v>4.32</v>
      </c>
      <c r="P413" s="431">
        <v>3.75</v>
      </c>
      <c r="Q413" s="179">
        <f t="shared" si="11"/>
        <v>5.21</v>
      </c>
      <c r="R413" s="179" t="s">
        <v>994</v>
      </c>
    </row>
    <row r="414" spans="1:18" x14ac:dyDescent="0.15">
      <c r="A414" s="179" t="str">
        <f t="shared" si="10"/>
        <v>Ciudad Victoria_Flat Surface_247.5</v>
      </c>
      <c r="B414" s="501" t="s">
        <v>1127</v>
      </c>
      <c r="C414" s="429">
        <v>0</v>
      </c>
      <c r="D414" s="429">
        <v>247.5</v>
      </c>
      <c r="E414" s="431">
        <v>3.9</v>
      </c>
      <c r="F414" s="431">
        <v>4.74</v>
      </c>
      <c r="G414" s="431">
        <v>5.75</v>
      </c>
      <c r="H414" s="431">
        <v>5.91</v>
      </c>
      <c r="I414" s="431">
        <v>6.28</v>
      </c>
      <c r="J414" s="431">
        <v>6.14</v>
      </c>
      <c r="K414" s="431">
        <v>6.08</v>
      </c>
      <c r="L414" s="431">
        <v>5.79</v>
      </c>
      <c r="M414" s="431">
        <v>5.08</v>
      </c>
      <c r="N414" s="431">
        <v>4.78</v>
      </c>
      <c r="O414" s="431">
        <v>4.32</v>
      </c>
      <c r="P414" s="431">
        <v>3.75</v>
      </c>
      <c r="Q414" s="179">
        <f t="shared" si="11"/>
        <v>5.21</v>
      </c>
      <c r="R414" s="179" t="s">
        <v>994</v>
      </c>
    </row>
    <row r="415" spans="1:18" x14ac:dyDescent="0.15">
      <c r="A415" s="179" t="str">
        <f t="shared" si="10"/>
        <v>Ciudad Victoria_Flat Surface_270</v>
      </c>
      <c r="B415" s="501" t="s">
        <v>1127</v>
      </c>
      <c r="C415" s="429">
        <v>0</v>
      </c>
      <c r="D415" s="429">
        <v>270</v>
      </c>
      <c r="E415" s="431">
        <v>3.9</v>
      </c>
      <c r="F415" s="431">
        <v>4.74</v>
      </c>
      <c r="G415" s="431">
        <v>5.75</v>
      </c>
      <c r="H415" s="431">
        <v>5.91</v>
      </c>
      <c r="I415" s="431">
        <v>6.28</v>
      </c>
      <c r="J415" s="431">
        <v>6.14</v>
      </c>
      <c r="K415" s="431">
        <v>6.08</v>
      </c>
      <c r="L415" s="431">
        <v>5.79</v>
      </c>
      <c r="M415" s="431">
        <v>5.08</v>
      </c>
      <c r="N415" s="431">
        <v>4.78</v>
      </c>
      <c r="O415" s="431">
        <v>4.32</v>
      </c>
      <c r="P415" s="431">
        <v>3.75</v>
      </c>
      <c r="Q415" s="179">
        <f t="shared" si="11"/>
        <v>5.21</v>
      </c>
      <c r="R415" s="179" t="s">
        <v>994</v>
      </c>
    </row>
    <row r="416" spans="1:18" x14ac:dyDescent="0.15">
      <c r="A416" s="179" t="str">
        <f t="shared" si="10"/>
        <v>Ciudad Victoria_Optimal Summer_90</v>
      </c>
      <c r="B416" s="501" t="s">
        <v>1127</v>
      </c>
      <c r="C416" s="429">
        <v>9</v>
      </c>
      <c r="D416" s="429">
        <v>90</v>
      </c>
      <c r="E416" s="431">
        <v>3.44</v>
      </c>
      <c r="F416" s="431">
        <v>4.09</v>
      </c>
      <c r="G416" s="431">
        <v>4.8</v>
      </c>
      <c r="H416" s="431">
        <v>4.78</v>
      </c>
      <c r="I416" s="431">
        <v>4.96</v>
      </c>
      <c r="J416" s="431">
        <v>4.8099999999999996</v>
      </c>
      <c r="K416" s="431">
        <v>4.78</v>
      </c>
      <c r="L416" s="431">
        <v>4.6399999999999997</v>
      </c>
      <c r="M416" s="431">
        <v>4.17</v>
      </c>
      <c r="N416" s="431">
        <v>4.0599999999999996</v>
      </c>
      <c r="O416" s="431">
        <v>3.82</v>
      </c>
      <c r="P416" s="431">
        <v>3.34</v>
      </c>
      <c r="Q416" s="179">
        <f t="shared" si="11"/>
        <v>4.3075000000000001</v>
      </c>
      <c r="R416" s="179" t="s">
        <v>958</v>
      </c>
    </row>
    <row r="417" spans="1:18" x14ac:dyDescent="0.15">
      <c r="A417" s="179" t="str">
        <f t="shared" si="10"/>
        <v>Ciudad Victoria_Optimal Summer_112.5</v>
      </c>
      <c r="B417" s="501" t="s">
        <v>1127</v>
      </c>
      <c r="C417" s="429">
        <v>9</v>
      </c>
      <c r="D417" s="429">
        <v>112.5</v>
      </c>
      <c r="E417" s="431">
        <v>3.76</v>
      </c>
      <c r="F417" s="431">
        <v>4.47</v>
      </c>
      <c r="G417" s="431">
        <v>5.25</v>
      </c>
      <c r="H417" s="431">
        <v>5.23</v>
      </c>
      <c r="I417" s="431">
        <v>5.42</v>
      </c>
      <c r="J417" s="431">
        <v>5.26</v>
      </c>
      <c r="K417" s="431">
        <v>5.23</v>
      </c>
      <c r="L417" s="431">
        <v>5.08</v>
      </c>
      <c r="M417" s="431">
        <v>4.5599999999999996</v>
      </c>
      <c r="N417" s="431">
        <v>4.4400000000000004</v>
      </c>
      <c r="O417" s="431">
        <v>4.17</v>
      </c>
      <c r="P417" s="431">
        <v>3.66</v>
      </c>
      <c r="Q417" s="179">
        <f t="shared" si="11"/>
        <v>4.7108333333333334</v>
      </c>
      <c r="R417" s="179" t="s">
        <v>958</v>
      </c>
    </row>
    <row r="418" spans="1:18" x14ac:dyDescent="0.15">
      <c r="A418" s="179" t="str">
        <f t="shared" si="10"/>
        <v>Ciudad Victoria_Optimal Summer_135</v>
      </c>
      <c r="B418" s="501" t="s">
        <v>1127</v>
      </c>
      <c r="C418" s="429">
        <v>9</v>
      </c>
      <c r="D418" s="429">
        <v>135</v>
      </c>
      <c r="E418" s="431">
        <v>4.08</v>
      </c>
      <c r="F418" s="431">
        <v>4.8499999999999996</v>
      </c>
      <c r="G418" s="431">
        <v>5.7</v>
      </c>
      <c r="H418" s="431">
        <v>5.68</v>
      </c>
      <c r="I418" s="431">
        <v>5.89</v>
      </c>
      <c r="J418" s="431">
        <v>5.71</v>
      </c>
      <c r="K418" s="431">
        <v>5.68</v>
      </c>
      <c r="L418" s="431">
        <v>5.51</v>
      </c>
      <c r="M418" s="431">
        <v>4.95</v>
      </c>
      <c r="N418" s="431">
        <v>4.82</v>
      </c>
      <c r="O418" s="431">
        <v>4.53</v>
      </c>
      <c r="P418" s="431">
        <v>3.97</v>
      </c>
      <c r="Q418" s="179">
        <f t="shared" si="11"/>
        <v>5.1141666666666667</v>
      </c>
      <c r="R418" s="179" t="s">
        <v>958</v>
      </c>
    </row>
    <row r="419" spans="1:18" x14ac:dyDescent="0.15">
      <c r="A419" s="179" t="str">
        <f t="shared" si="10"/>
        <v>Ciudad Victoria_Optimal Summer_157.5</v>
      </c>
      <c r="B419" s="501" t="s">
        <v>1127</v>
      </c>
      <c r="C419" s="429">
        <v>9</v>
      </c>
      <c r="D419" s="429">
        <v>157.5</v>
      </c>
      <c r="E419" s="431">
        <v>4.1900000000000004</v>
      </c>
      <c r="F419" s="431">
        <v>4.9800000000000004</v>
      </c>
      <c r="G419" s="431">
        <v>5.85</v>
      </c>
      <c r="H419" s="431">
        <v>5.83</v>
      </c>
      <c r="I419" s="431">
        <v>6.04</v>
      </c>
      <c r="J419" s="431">
        <v>5.86</v>
      </c>
      <c r="K419" s="431">
        <v>5.83</v>
      </c>
      <c r="L419" s="431">
        <v>5.66</v>
      </c>
      <c r="M419" s="431">
        <v>5.08</v>
      </c>
      <c r="N419" s="431">
        <v>4.9400000000000004</v>
      </c>
      <c r="O419" s="431">
        <v>4.6500000000000004</v>
      </c>
      <c r="P419" s="431">
        <v>4.08</v>
      </c>
      <c r="Q419" s="179">
        <f t="shared" si="11"/>
        <v>5.2491666666666656</v>
      </c>
      <c r="R419" s="179" t="s">
        <v>958</v>
      </c>
    </row>
    <row r="420" spans="1:18" x14ac:dyDescent="0.15">
      <c r="A420" s="179" t="str">
        <f t="shared" si="10"/>
        <v>Ciudad Victoria_Optimal Summer_180</v>
      </c>
      <c r="B420" s="501" t="s">
        <v>1127</v>
      </c>
      <c r="C420" s="429">
        <v>9</v>
      </c>
      <c r="D420" s="429">
        <v>180</v>
      </c>
      <c r="E420" s="431">
        <v>4.3</v>
      </c>
      <c r="F420" s="431">
        <v>5.1100000000000003</v>
      </c>
      <c r="G420" s="431">
        <v>6</v>
      </c>
      <c r="H420" s="431">
        <v>5.98</v>
      </c>
      <c r="I420" s="431">
        <v>6.2</v>
      </c>
      <c r="J420" s="431">
        <v>6.01</v>
      </c>
      <c r="K420" s="431">
        <v>5.98</v>
      </c>
      <c r="L420" s="431">
        <v>5.8</v>
      </c>
      <c r="M420" s="431">
        <v>5.21</v>
      </c>
      <c r="N420" s="431">
        <v>5.07</v>
      </c>
      <c r="O420" s="431">
        <v>4.7699999999999996</v>
      </c>
      <c r="P420" s="431">
        <v>4.18</v>
      </c>
      <c r="Q420" s="179">
        <f t="shared" si="11"/>
        <v>5.3841666666666654</v>
      </c>
      <c r="R420" s="179" t="s">
        <v>958</v>
      </c>
    </row>
    <row r="421" spans="1:18" x14ac:dyDescent="0.15">
      <c r="A421" s="179" t="str">
        <f t="shared" si="10"/>
        <v>Ciudad Victoria_Optimal Summer_202.5</v>
      </c>
      <c r="B421" s="501" t="s">
        <v>1127</v>
      </c>
      <c r="C421" s="429">
        <v>9</v>
      </c>
      <c r="D421" s="429">
        <v>202.5</v>
      </c>
      <c r="E421" s="431">
        <v>4.1900000000000004</v>
      </c>
      <c r="F421" s="431">
        <v>4.9800000000000004</v>
      </c>
      <c r="G421" s="431">
        <v>5.85</v>
      </c>
      <c r="H421" s="431">
        <v>5.83</v>
      </c>
      <c r="I421" s="431">
        <v>6.04</v>
      </c>
      <c r="J421" s="431">
        <v>5.86</v>
      </c>
      <c r="K421" s="431">
        <v>5.83</v>
      </c>
      <c r="L421" s="431">
        <v>5.66</v>
      </c>
      <c r="M421" s="431">
        <v>5.08</v>
      </c>
      <c r="N421" s="431">
        <v>4.9400000000000004</v>
      </c>
      <c r="O421" s="431">
        <v>4.6500000000000004</v>
      </c>
      <c r="P421" s="431">
        <v>4.08</v>
      </c>
      <c r="Q421" s="179">
        <f t="shared" si="11"/>
        <v>5.2491666666666656</v>
      </c>
      <c r="R421" s="179" t="s">
        <v>958</v>
      </c>
    </row>
    <row r="422" spans="1:18" x14ac:dyDescent="0.15">
      <c r="A422" s="179" t="str">
        <f t="shared" si="10"/>
        <v>Ciudad Victoria_Optimal Summer_225</v>
      </c>
      <c r="B422" s="501" t="s">
        <v>1127</v>
      </c>
      <c r="C422" s="429">
        <v>9</v>
      </c>
      <c r="D422" s="429">
        <v>225</v>
      </c>
      <c r="E422" s="431">
        <v>4.08</v>
      </c>
      <c r="F422" s="431">
        <v>4.8499999999999996</v>
      </c>
      <c r="G422" s="431">
        <v>5.7</v>
      </c>
      <c r="H422" s="431">
        <v>5.68</v>
      </c>
      <c r="I422" s="431">
        <v>5.89</v>
      </c>
      <c r="J422" s="431">
        <v>5.71</v>
      </c>
      <c r="K422" s="431">
        <v>5.68</v>
      </c>
      <c r="L422" s="431">
        <v>5.51</v>
      </c>
      <c r="M422" s="431">
        <v>4.95</v>
      </c>
      <c r="N422" s="431">
        <v>4.82</v>
      </c>
      <c r="O422" s="431">
        <v>4.53</v>
      </c>
      <c r="P422" s="431">
        <v>3.97</v>
      </c>
      <c r="Q422" s="179">
        <f t="shared" si="11"/>
        <v>5.1141666666666667</v>
      </c>
      <c r="R422" s="179" t="s">
        <v>958</v>
      </c>
    </row>
    <row r="423" spans="1:18" x14ac:dyDescent="0.15">
      <c r="A423" s="179" t="str">
        <f t="shared" si="10"/>
        <v>Ciudad Victoria_Optimal Summer_247.5</v>
      </c>
      <c r="B423" s="501" t="s">
        <v>1127</v>
      </c>
      <c r="C423" s="429">
        <v>9</v>
      </c>
      <c r="D423" s="429">
        <v>247.5</v>
      </c>
      <c r="E423" s="431">
        <v>3.76</v>
      </c>
      <c r="F423" s="431">
        <v>4.47</v>
      </c>
      <c r="G423" s="431">
        <v>5.25</v>
      </c>
      <c r="H423" s="431">
        <v>5.23</v>
      </c>
      <c r="I423" s="431">
        <v>5.42</v>
      </c>
      <c r="J423" s="431">
        <v>5.26</v>
      </c>
      <c r="K423" s="431">
        <v>5.23</v>
      </c>
      <c r="L423" s="431">
        <v>5.08</v>
      </c>
      <c r="M423" s="431">
        <v>4.5599999999999996</v>
      </c>
      <c r="N423" s="431">
        <v>4.4400000000000004</v>
      </c>
      <c r="O423" s="431">
        <v>4.17</v>
      </c>
      <c r="P423" s="431">
        <v>3.66</v>
      </c>
      <c r="Q423" s="179">
        <f t="shared" si="11"/>
        <v>4.7108333333333334</v>
      </c>
      <c r="R423" s="179" t="s">
        <v>958</v>
      </c>
    </row>
    <row r="424" spans="1:18" x14ac:dyDescent="0.15">
      <c r="A424" s="179" t="str">
        <f t="shared" si="10"/>
        <v>Ciudad Victoria_Optimal Summer_270</v>
      </c>
      <c r="B424" s="501" t="s">
        <v>1127</v>
      </c>
      <c r="C424" s="429">
        <v>9</v>
      </c>
      <c r="D424" s="429">
        <v>270</v>
      </c>
      <c r="E424" s="431">
        <v>3.44</v>
      </c>
      <c r="F424" s="431">
        <v>4.09</v>
      </c>
      <c r="G424" s="431">
        <v>4.8</v>
      </c>
      <c r="H424" s="431">
        <v>4.78</v>
      </c>
      <c r="I424" s="431">
        <v>4.96</v>
      </c>
      <c r="J424" s="431">
        <v>4.8099999999999996</v>
      </c>
      <c r="K424" s="431">
        <v>4.78</v>
      </c>
      <c r="L424" s="431">
        <v>4.6399999999999997</v>
      </c>
      <c r="M424" s="431">
        <v>4.17</v>
      </c>
      <c r="N424" s="431">
        <v>4.0599999999999996</v>
      </c>
      <c r="O424" s="431">
        <v>3.82</v>
      </c>
      <c r="P424" s="431">
        <v>3.34</v>
      </c>
      <c r="Q424" s="179">
        <f t="shared" si="11"/>
        <v>4.3075000000000001</v>
      </c>
      <c r="R424" s="179" t="s">
        <v>958</v>
      </c>
    </row>
    <row r="425" spans="1:18" x14ac:dyDescent="0.15">
      <c r="A425" s="179" t="str">
        <f t="shared" si="10"/>
        <v>Ciudad Victoria_Optimal Year Round_90</v>
      </c>
      <c r="B425" s="501" t="s">
        <v>1127</v>
      </c>
      <c r="C425" s="429">
        <v>24</v>
      </c>
      <c r="D425" s="429">
        <v>90</v>
      </c>
      <c r="E425" s="431">
        <v>3.91</v>
      </c>
      <c r="F425" s="431">
        <v>4.46</v>
      </c>
      <c r="G425" s="431">
        <v>4.9800000000000004</v>
      </c>
      <c r="H425" s="431">
        <v>4.7</v>
      </c>
      <c r="I425" s="431">
        <v>4.66</v>
      </c>
      <c r="J425" s="431">
        <v>4.45</v>
      </c>
      <c r="K425" s="431">
        <v>4.46</v>
      </c>
      <c r="L425" s="431">
        <v>4.4800000000000004</v>
      </c>
      <c r="M425" s="431">
        <v>4.2</v>
      </c>
      <c r="N425" s="431">
        <v>4.34</v>
      </c>
      <c r="O425" s="431">
        <v>4.33</v>
      </c>
      <c r="P425" s="431">
        <v>3.86</v>
      </c>
      <c r="Q425" s="179">
        <f t="shared" si="11"/>
        <v>4.4024999999999999</v>
      </c>
      <c r="R425" s="179" t="s">
        <v>993</v>
      </c>
    </row>
    <row r="426" spans="1:18" x14ac:dyDescent="0.15">
      <c r="A426" s="179" t="str">
        <f t="shared" si="10"/>
        <v>Ciudad Victoria_Optimal Year Round_112.5</v>
      </c>
      <c r="B426" s="501" t="s">
        <v>1127</v>
      </c>
      <c r="C426" s="429">
        <v>24</v>
      </c>
      <c r="D426" s="429">
        <v>112.5</v>
      </c>
      <c r="E426" s="431">
        <v>4.28</v>
      </c>
      <c r="F426" s="431">
        <v>4.88</v>
      </c>
      <c r="G426" s="431">
        <v>5.45</v>
      </c>
      <c r="H426" s="431">
        <v>5.14</v>
      </c>
      <c r="I426" s="431">
        <v>5.09</v>
      </c>
      <c r="J426" s="431">
        <v>4.8600000000000003</v>
      </c>
      <c r="K426" s="431">
        <v>4.87</v>
      </c>
      <c r="L426" s="431">
        <v>4.9000000000000004</v>
      </c>
      <c r="M426" s="431">
        <v>4.59</v>
      </c>
      <c r="N426" s="431">
        <v>4.75</v>
      </c>
      <c r="O426" s="431">
        <v>4.7300000000000004</v>
      </c>
      <c r="P426" s="431">
        <v>4.22</v>
      </c>
      <c r="Q426" s="179">
        <f t="shared" si="11"/>
        <v>4.8133333333333335</v>
      </c>
      <c r="R426" s="179" t="s">
        <v>993</v>
      </c>
    </row>
    <row r="427" spans="1:18" x14ac:dyDescent="0.15">
      <c r="A427" s="179" t="str">
        <f t="shared" si="10"/>
        <v>Ciudad Victoria_Optimal Year Round_135</v>
      </c>
      <c r="B427" s="501" t="s">
        <v>1127</v>
      </c>
      <c r="C427" s="429">
        <v>24</v>
      </c>
      <c r="D427" s="429">
        <v>135</v>
      </c>
      <c r="E427" s="431">
        <v>4.6500000000000004</v>
      </c>
      <c r="F427" s="431">
        <v>5.3</v>
      </c>
      <c r="G427" s="431">
        <v>5.92</v>
      </c>
      <c r="H427" s="431">
        <v>5.58</v>
      </c>
      <c r="I427" s="431">
        <v>5.53</v>
      </c>
      <c r="J427" s="431">
        <v>5.28</v>
      </c>
      <c r="K427" s="431">
        <v>5.29</v>
      </c>
      <c r="L427" s="431">
        <v>5.32</v>
      </c>
      <c r="M427" s="431">
        <v>4.99</v>
      </c>
      <c r="N427" s="431">
        <v>5.16</v>
      </c>
      <c r="O427" s="431">
        <v>5.14</v>
      </c>
      <c r="P427" s="431">
        <v>4.58</v>
      </c>
      <c r="Q427" s="179">
        <f t="shared" si="11"/>
        <v>5.2283333333333326</v>
      </c>
      <c r="R427" s="179" t="s">
        <v>993</v>
      </c>
    </row>
    <row r="428" spans="1:18" x14ac:dyDescent="0.15">
      <c r="A428" s="179" t="str">
        <f t="shared" si="10"/>
        <v>Ciudad Victoria_Optimal Year Round_157.5</v>
      </c>
      <c r="B428" s="501" t="s">
        <v>1127</v>
      </c>
      <c r="C428" s="429">
        <v>24</v>
      </c>
      <c r="D428" s="429">
        <v>157.5</v>
      </c>
      <c r="E428" s="431">
        <v>4.7699999999999996</v>
      </c>
      <c r="F428" s="431">
        <v>5.44</v>
      </c>
      <c r="G428" s="431">
        <v>6.07</v>
      </c>
      <c r="H428" s="431">
        <v>5.72</v>
      </c>
      <c r="I428" s="431">
        <v>5.67</v>
      </c>
      <c r="J428" s="431">
        <v>5.42</v>
      </c>
      <c r="K428" s="431">
        <v>5.43</v>
      </c>
      <c r="L428" s="431">
        <v>5.46</v>
      </c>
      <c r="M428" s="431">
        <v>5.12</v>
      </c>
      <c r="N428" s="431">
        <v>5.29</v>
      </c>
      <c r="O428" s="431">
        <v>5.27</v>
      </c>
      <c r="P428" s="431">
        <v>4.7</v>
      </c>
      <c r="Q428" s="179">
        <f t="shared" si="11"/>
        <v>5.3633333333333333</v>
      </c>
      <c r="R428" s="179" t="s">
        <v>993</v>
      </c>
    </row>
    <row r="429" spans="1:18" x14ac:dyDescent="0.15">
      <c r="A429" s="179" t="str">
        <f t="shared" si="10"/>
        <v>Ciudad Victoria_Optimal Year Round_180</v>
      </c>
      <c r="B429" s="501" t="s">
        <v>1127</v>
      </c>
      <c r="C429" s="429">
        <v>24</v>
      </c>
      <c r="D429" s="429">
        <v>180</v>
      </c>
      <c r="E429" s="431">
        <v>4.8899999999999997</v>
      </c>
      <c r="F429" s="431">
        <v>5.58</v>
      </c>
      <c r="G429" s="431">
        <v>6.23</v>
      </c>
      <c r="H429" s="431">
        <v>5.87</v>
      </c>
      <c r="I429" s="431">
        <v>5.82</v>
      </c>
      <c r="J429" s="431">
        <v>5.56</v>
      </c>
      <c r="K429" s="431">
        <v>5.57</v>
      </c>
      <c r="L429" s="431">
        <v>5.6</v>
      </c>
      <c r="M429" s="431">
        <v>5.25</v>
      </c>
      <c r="N429" s="431">
        <v>5.43</v>
      </c>
      <c r="O429" s="431">
        <v>5.41</v>
      </c>
      <c r="P429" s="431">
        <v>4.82</v>
      </c>
      <c r="Q429" s="179">
        <f t="shared" si="11"/>
        <v>5.5025000000000004</v>
      </c>
      <c r="R429" s="179" t="s">
        <v>993</v>
      </c>
    </row>
    <row r="430" spans="1:18" x14ac:dyDescent="0.15">
      <c r="A430" s="179" t="str">
        <f t="shared" si="10"/>
        <v>Ciudad Victoria_Optimal Year Round_202.5</v>
      </c>
      <c r="B430" s="501" t="s">
        <v>1127</v>
      </c>
      <c r="C430" s="429">
        <v>24</v>
      </c>
      <c r="D430" s="429">
        <v>202.5</v>
      </c>
      <c r="E430" s="431">
        <v>4.7699999999999996</v>
      </c>
      <c r="F430" s="431">
        <v>5.44</v>
      </c>
      <c r="G430" s="431">
        <v>6.07</v>
      </c>
      <c r="H430" s="431">
        <v>5.72</v>
      </c>
      <c r="I430" s="431">
        <v>5.67</v>
      </c>
      <c r="J430" s="431">
        <v>5.42</v>
      </c>
      <c r="K430" s="431">
        <v>5.43</v>
      </c>
      <c r="L430" s="431">
        <v>5.46</v>
      </c>
      <c r="M430" s="431">
        <v>5.12</v>
      </c>
      <c r="N430" s="431">
        <v>5.29</v>
      </c>
      <c r="O430" s="431">
        <v>5.27</v>
      </c>
      <c r="P430" s="431">
        <v>4.7</v>
      </c>
      <c r="Q430" s="179">
        <f t="shared" si="11"/>
        <v>5.3633333333333333</v>
      </c>
      <c r="R430" s="179" t="s">
        <v>993</v>
      </c>
    </row>
    <row r="431" spans="1:18" x14ac:dyDescent="0.15">
      <c r="A431" s="179" t="str">
        <f t="shared" si="10"/>
        <v>Ciudad Victoria_Optimal Year Round_225</v>
      </c>
      <c r="B431" s="501" t="s">
        <v>1127</v>
      </c>
      <c r="C431" s="429">
        <v>24</v>
      </c>
      <c r="D431" s="429">
        <v>225</v>
      </c>
      <c r="E431" s="431">
        <v>4.6500000000000004</v>
      </c>
      <c r="F431" s="431">
        <v>5.3</v>
      </c>
      <c r="G431" s="431">
        <v>5.92</v>
      </c>
      <c r="H431" s="431">
        <v>5.58</v>
      </c>
      <c r="I431" s="431">
        <v>5.53</v>
      </c>
      <c r="J431" s="431">
        <v>5.28</v>
      </c>
      <c r="K431" s="431">
        <v>5.29</v>
      </c>
      <c r="L431" s="431">
        <v>5.32</v>
      </c>
      <c r="M431" s="431">
        <v>4.99</v>
      </c>
      <c r="N431" s="431">
        <v>5.16</v>
      </c>
      <c r="O431" s="431">
        <v>5.14</v>
      </c>
      <c r="P431" s="431">
        <v>4.58</v>
      </c>
      <c r="Q431" s="179">
        <f t="shared" si="11"/>
        <v>5.2283333333333326</v>
      </c>
      <c r="R431" s="179" t="s">
        <v>993</v>
      </c>
    </row>
    <row r="432" spans="1:18" x14ac:dyDescent="0.15">
      <c r="A432" s="179" t="str">
        <f t="shared" si="10"/>
        <v>Ciudad Victoria_Optimal Year Round_247.5</v>
      </c>
      <c r="B432" s="501" t="s">
        <v>1127</v>
      </c>
      <c r="C432" s="429">
        <v>24</v>
      </c>
      <c r="D432" s="429">
        <v>247.5</v>
      </c>
      <c r="E432" s="431">
        <v>4.28</v>
      </c>
      <c r="F432" s="431">
        <v>4.88</v>
      </c>
      <c r="G432" s="431">
        <v>5.45</v>
      </c>
      <c r="H432" s="431">
        <v>5.14</v>
      </c>
      <c r="I432" s="431">
        <v>5.09</v>
      </c>
      <c r="J432" s="431">
        <v>4.8600000000000003</v>
      </c>
      <c r="K432" s="431">
        <v>4.87</v>
      </c>
      <c r="L432" s="431">
        <v>4.9000000000000004</v>
      </c>
      <c r="M432" s="431">
        <v>4.59</v>
      </c>
      <c r="N432" s="431">
        <v>4.75</v>
      </c>
      <c r="O432" s="431">
        <v>4.7300000000000004</v>
      </c>
      <c r="P432" s="431">
        <v>4.22</v>
      </c>
      <c r="Q432" s="179">
        <f t="shared" si="11"/>
        <v>4.8133333333333335</v>
      </c>
      <c r="R432" s="179" t="s">
        <v>993</v>
      </c>
    </row>
    <row r="433" spans="1:18" x14ac:dyDescent="0.15">
      <c r="A433" s="179" t="str">
        <f t="shared" si="10"/>
        <v>Ciudad Victoria_Optimal Year Round_270</v>
      </c>
      <c r="B433" s="501" t="s">
        <v>1127</v>
      </c>
      <c r="C433" s="429">
        <v>24</v>
      </c>
      <c r="D433" s="429">
        <v>270</v>
      </c>
      <c r="E433" s="431">
        <v>3.91</v>
      </c>
      <c r="F433" s="431">
        <v>4.46</v>
      </c>
      <c r="G433" s="431">
        <v>4.9800000000000004</v>
      </c>
      <c r="H433" s="431">
        <v>4.7</v>
      </c>
      <c r="I433" s="431">
        <v>4.66</v>
      </c>
      <c r="J433" s="431">
        <v>4.45</v>
      </c>
      <c r="K433" s="431">
        <v>4.46</v>
      </c>
      <c r="L433" s="431">
        <v>4.4800000000000004</v>
      </c>
      <c r="M433" s="431">
        <v>4.2</v>
      </c>
      <c r="N433" s="431">
        <v>4.34</v>
      </c>
      <c r="O433" s="431">
        <v>4.33</v>
      </c>
      <c r="P433" s="431">
        <v>3.86</v>
      </c>
      <c r="Q433" s="179">
        <f t="shared" si="11"/>
        <v>4.4024999999999999</v>
      </c>
      <c r="R433" s="179" t="s">
        <v>993</v>
      </c>
    </row>
    <row r="434" spans="1:18" x14ac:dyDescent="0.15">
      <c r="A434" s="179" t="str">
        <f t="shared" si="10"/>
        <v>Coacalco_Flat Surface_90</v>
      </c>
      <c r="B434" s="501" t="s">
        <v>1128</v>
      </c>
      <c r="C434" s="429">
        <v>0</v>
      </c>
      <c r="D434" s="429">
        <v>90</v>
      </c>
      <c r="E434" s="431">
        <v>4.74</v>
      </c>
      <c r="F434" s="431">
        <v>5.68</v>
      </c>
      <c r="G434" s="431">
        <v>6.47</v>
      </c>
      <c r="H434" s="431">
        <v>6.38</v>
      </c>
      <c r="I434" s="431">
        <v>6.21</v>
      </c>
      <c r="J434" s="431">
        <v>5.57</v>
      </c>
      <c r="K434" s="431">
        <v>5.48</v>
      </c>
      <c r="L434" s="431">
        <v>5.31</v>
      </c>
      <c r="M434" s="431">
        <v>4.88</v>
      </c>
      <c r="N434" s="431">
        <v>4.87</v>
      </c>
      <c r="O434" s="431">
        <v>4.7699999999999996</v>
      </c>
      <c r="P434" s="431">
        <v>4.34</v>
      </c>
      <c r="Q434" s="179">
        <f t="shared" si="11"/>
        <v>5.3916666666666666</v>
      </c>
      <c r="R434" s="179" t="s">
        <v>994</v>
      </c>
    </row>
    <row r="435" spans="1:18" x14ac:dyDescent="0.15">
      <c r="A435" s="179" t="str">
        <f t="shared" si="10"/>
        <v>Coacalco_Flat Surface_112.5</v>
      </c>
      <c r="B435" s="501" t="s">
        <v>1128</v>
      </c>
      <c r="C435" s="429">
        <v>0</v>
      </c>
      <c r="D435" s="429">
        <v>112.5</v>
      </c>
      <c r="E435" s="431">
        <v>4.74</v>
      </c>
      <c r="F435" s="431">
        <v>5.68</v>
      </c>
      <c r="G435" s="431">
        <v>6.47</v>
      </c>
      <c r="H435" s="431">
        <v>6.38</v>
      </c>
      <c r="I435" s="431">
        <v>6.21</v>
      </c>
      <c r="J435" s="431">
        <v>5.57</v>
      </c>
      <c r="K435" s="431">
        <v>5.48</v>
      </c>
      <c r="L435" s="431">
        <v>5.31</v>
      </c>
      <c r="M435" s="431">
        <v>4.88</v>
      </c>
      <c r="N435" s="431">
        <v>4.87</v>
      </c>
      <c r="O435" s="431">
        <v>4.7699999999999996</v>
      </c>
      <c r="P435" s="431">
        <v>4.34</v>
      </c>
      <c r="Q435" s="179">
        <f t="shared" si="11"/>
        <v>5.3916666666666666</v>
      </c>
      <c r="R435" s="179" t="s">
        <v>994</v>
      </c>
    </row>
    <row r="436" spans="1:18" x14ac:dyDescent="0.15">
      <c r="A436" s="179" t="str">
        <f t="shared" si="10"/>
        <v>Coacalco_Flat Surface_135</v>
      </c>
      <c r="B436" s="501" t="s">
        <v>1128</v>
      </c>
      <c r="C436" s="429">
        <v>0</v>
      </c>
      <c r="D436" s="429">
        <v>135</v>
      </c>
      <c r="E436" s="431">
        <v>4.74</v>
      </c>
      <c r="F436" s="431">
        <v>5.68</v>
      </c>
      <c r="G436" s="431">
        <v>6.47</v>
      </c>
      <c r="H436" s="431">
        <v>6.38</v>
      </c>
      <c r="I436" s="431">
        <v>6.21</v>
      </c>
      <c r="J436" s="431">
        <v>5.57</v>
      </c>
      <c r="K436" s="431">
        <v>5.48</v>
      </c>
      <c r="L436" s="431">
        <v>5.31</v>
      </c>
      <c r="M436" s="431">
        <v>4.88</v>
      </c>
      <c r="N436" s="431">
        <v>4.87</v>
      </c>
      <c r="O436" s="431">
        <v>4.7699999999999996</v>
      </c>
      <c r="P436" s="431">
        <v>4.34</v>
      </c>
      <c r="Q436" s="179">
        <f t="shared" si="11"/>
        <v>5.3916666666666666</v>
      </c>
      <c r="R436" s="179" t="s">
        <v>994</v>
      </c>
    </row>
    <row r="437" spans="1:18" x14ac:dyDescent="0.15">
      <c r="A437" s="179" t="str">
        <f t="shared" si="10"/>
        <v>Coacalco_Flat Surface_157.5</v>
      </c>
      <c r="B437" s="501" t="s">
        <v>1128</v>
      </c>
      <c r="C437" s="429">
        <v>0</v>
      </c>
      <c r="D437" s="429">
        <v>157.5</v>
      </c>
      <c r="E437" s="431">
        <v>4.74</v>
      </c>
      <c r="F437" s="431">
        <v>5.68</v>
      </c>
      <c r="G437" s="431">
        <v>6.47</v>
      </c>
      <c r="H437" s="431">
        <v>6.38</v>
      </c>
      <c r="I437" s="431">
        <v>6.21</v>
      </c>
      <c r="J437" s="431">
        <v>5.57</v>
      </c>
      <c r="K437" s="431">
        <v>5.48</v>
      </c>
      <c r="L437" s="431">
        <v>5.31</v>
      </c>
      <c r="M437" s="431">
        <v>4.88</v>
      </c>
      <c r="N437" s="431">
        <v>4.87</v>
      </c>
      <c r="O437" s="431">
        <v>4.7699999999999996</v>
      </c>
      <c r="P437" s="431">
        <v>4.34</v>
      </c>
      <c r="Q437" s="179">
        <f t="shared" si="11"/>
        <v>5.3916666666666666</v>
      </c>
      <c r="R437" s="179" t="s">
        <v>994</v>
      </c>
    </row>
    <row r="438" spans="1:18" x14ac:dyDescent="0.15">
      <c r="A438" s="179" t="str">
        <f t="shared" si="10"/>
        <v>Coacalco_Flat Surface_180</v>
      </c>
      <c r="B438" s="501" t="s">
        <v>1128</v>
      </c>
      <c r="C438" s="429">
        <v>0</v>
      </c>
      <c r="D438" s="429">
        <v>180</v>
      </c>
      <c r="E438" s="431">
        <v>4.74</v>
      </c>
      <c r="F438" s="431">
        <v>5.68</v>
      </c>
      <c r="G438" s="431">
        <v>6.47</v>
      </c>
      <c r="H438" s="431">
        <v>6.38</v>
      </c>
      <c r="I438" s="431">
        <v>6.21</v>
      </c>
      <c r="J438" s="431">
        <v>5.57</v>
      </c>
      <c r="K438" s="431">
        <v>5.48</v>
      </c>
      <c r="L438" s="431">
        <v>5.31</v>
      </c>
      <c r="M438" s="431">
        <v>4.88</v>
      </c>
      <c r="N438" s="431">
        <v>4.87</v>
      </c>
      <c r="O438" s="431">
        <v>4.7699999999999996</v>
      </c>
      <c r="P438" s="431">
        <v>4.34</v>
      </c>
      <c r="Q438" s="179">
        <f t="shared" si="11"/>
        <v>5.3916666666666666</v>
      </c>
      <c r="R438" s="179" t="s">
        <v>994</v>
      </c>
    </row>
    <row r="439" spans="1:18" x14ac:dyDescent="0.15">
      <c r="A439" s="179" t="str">
        <f t="shared" si="10"/>
        <v>Coacalco_Flat Surface_202.5</v>
      </c>
      <c r="B439" s="501" t="s">
        <v>1128</v>
      </c>
      <c r="C439" s="429">
        <v>0</v>
      </c>
      <c r="D439" s="429">
        <v>202.5</v>
      </c>
      <c r="E439" s="431">
        <v>4.74</v>
      </c>
      <c r="F439" s="431">
        <v>5.68</v>
      </c>
      <c r="G439" s="431">
        <v>6.47</v>
      </c>
      <c r="H439" s="431">
        <v>6.38</v>
      </c>
      <c r="I439" s="431">
        <v>6.21</v>
      </c>
      <c r="J439" s="431">
        <v>5.57</v>
      </c>
      <c r="K439" s="431">
        <v>5.48</v>
      </c>
      <c r="L439" s="431">
        <v>5.31</v>
      </c>
      <c r="M439" s="431">
        <v>4.88</v>
      </c>
      <c r="N439" s="431">
        <v>4.87</v>
      </c>
      <c r="O439" s="431">
        <v>4.7699999999999996</v>
      </c>
      <c r="P439" s="431">
        <v>4.34</v>
      </c>
      <c r="Q439" s="179">
        <f t="shared" si="11"/>
        <v>5.3916666666666666</v>
      </c>
      <c r="R439" s="179" t="s">
        <v>994</v>
      </c>
    </row>
    <row r="440" spans="1:18" x14ac:dyDescent="0.15">
      <c r="A440" s="179" t="str">
        <f t="shared" si="10"/>
        <v>Coacalco_Flat Surface_225</v>
      </c>
      <c r="B440" s="501" t="s">
        <v>1128</v>
      </c>
      <c r="C440" s="429">
        <v>0</v>
      </c>
      <c r="D440" s="429">
        <v>225</v>
      </c>
      <c r="E440" s="431">
        <v>4.74</v>
      </c>
      <c r="F440" s="431">
        <v>5.68</v>
      </c>
      <c r="G440" s="431">
        <v>6.47</v>
      </c>
      <c r="H440" s="431">
        <v>6.38</v>
      </c>
      <c r="I440" s="431">
        <v>6.21</v>
      </c>
      <c r="J440" s="431">
        <v>5.57</v>
      </c>
      <c r="K440" s="431">
        <v>5.48</v>
      </c>
      <c r="L440" s="431">
        <v>5.31</v>
      </c>
      <c r="M440" s="431">
        <v>4.88</v>
      </c>
      <c r="N440" s="431">
        <v>4.87</v>
      </c>
      <c r="O440" s="431">
        <v>4.7699999999999996</v>
      </c>
      <c r="P440" s="431">
        <v>4.34</v>
      </c>
      <c r="Q440" s="179">
        <f t="shared" si="11"/>
        <v>5.3916666666666666</v>
      </c>
      <c r="R440" s="179" t="s">
        <v>994</v>
      </c>
    </row>
    <row r="441" spans="1:18" x14ac:dyDescent="0.15">
      <c r="A441" s="179" t="str">
        <f t="shared" si="10"/>
        <v>Coacalco_Flat Surface_247.5</v>
      </c>
      <c r="B441" s="501" t="s">
        <v>1128</v>
      </c>
      <c r="C441" s="429">
        <v>0</v>
      </c>
      <c r="D441" s="429">
        <v>247.5</v>
      </c>
      <c r="E441" s="431">
        <v>4.74</v>
      </c>
      <c r="F441" s="431">
        <v>5.68</v>
      </c>
      <c r="G441" s="431">
        <v>6.47</v>
      </c>
      <c r="H441" s="431">
        <v>6.38</v>
      </c>
      <c r="I441" s="431">
        <v>6.21</v>
      </c>
      <c r="J441" s="431">
        <v>5.57</v>
      </c>
      <c r="K441" s="431">
        <v>5.48</v>
      </c>
      <c r="L441" s="431">
        <v>5.31</v>
      </c>
      <c r="M441" s="431">
        <v>4.88</v>
      </c>
      <c r="N441" s="431">
        <v>4.87</v>
      </c>
      <c r="O441" s="431">
        <v>4.7699999999999996</v>
      </c>
      <c r="P441" s="431">
        <v>4.34</v>
      </c>
      <c r="Q441" s="179">
        <f t="shared" si="11"/>
        <v>5.3916666666666666</v>
      </c>
      <c r="R441" s="179" t="s">
        <v>994</v>
      </c>
    </row>
    <row r="442" spans="1:18" x14ac:dyDescent="0.15">
      <c r="A442" s="179" t="str">
        <f t="shared" si="10"/>
        <v>Coacalco_Flat Surface_270</v>
      </c>
      <c r="B442" s="501" t="s">
        <v>1128</v>
      </c>
      <c r="C442" s="429">
        <v>0</v>
      </c>
      <c r="D442" s="429">
        <v>270</v>
      </c>
      <c r="E442" s="431">
        <v>4.74</v>
      </c>
      <c r="F442" s="431">
        <v>5.68</v>
      </c>
      <c r="G442" s="431">
        <v>6.47</v>
      </c>
      <c r="H442" s="431">
        <v>6.38</v>
      </c>
      <c r="I442" s="431">
        <v>6.21</v>
      </c>
      <c r="J442" s="431">
        <v>5.57</v>
      </c>
      <c r="K442" s="431">
        <v>5.48</v>
      </c>
      <c r="L442" s="431">
        <v>5.31</v>
      </c>
      <c r="M442" s="431">
        <v>4.88</v>
      </c>
      <c r="N442" s="431">
        <v>4.87</v>
      </c>
      <c r="O442" s="431">
        <v>4.7699999999999996</v>
      </c>
      <c r="P442" s="431">
        <v>4.34</v>
      </c>
      <c r="Q442" s="179">
        <f t="shared" si="11"/>
        <v>5.3916666666666666</v>
      </c>
      <c r="R442" s="179" t="s">
        <v>994</v>
      </c>
    </row>
    <row r="443" spans="1:18" x14ac:dyDescent="0.15">
      <c r="A443" s="179" t="str">
        <f t="shared" si="10"/>
        <v>Coacalco_Optimal Summer_90</v>
      </c>
      <c r="B443" s="501" t="s">
        <v>1128</v>
      </c>
      <c r="C443" s="429">
        <v>5</v>
      </c>
      <c r="D443" s="429">
        <v>90</v>
      </c>
      <c r="E443" s="431">
        <v>4</v>
      </c>
      <c r="F443" s="431">
        <v>4.72</v>
      </c>
      <c r="G443" s="431">
        <v>5.29</v>
      </c>
      <c r="H443" s="431">
        <v>5.13</v>
      </c>
      <c r="I443" s="431">
        <v>4.93</v>
      </c>
      <c r="J443" s="431">
        <v>4.49</v>
      </c>
      <c r="K443" s="431">
        <v>4.41</v>
      </c>
      <c r="L443" s="431">
        <v>4.25</v>
      </c>
      <c r="M443" s="431">
        <v>3.94</v>
      </c>
      <c r="N443" s="431">
        <v>4.01</v>
      </c>
      <c r="O443" s="431">
        <v>4</v>
      </c>
      <c r="P443" s="431">
        <v>3.66</v>
      </c>
      <c r="Q443" s="179">
        <f t="shared" si="11"/>
        <v>4.4024999999999999</v>
      </c>
      <c r="R443" s="179" t="s">
        <v>958</v>
      </c>
    </row>
    <row r="444" spans="1:18" x14ac:dyDescent="0.15">
      <c r="A444" s="179" t="str">
        <f t="shared" si="10"/>
        <v>Coacalco_Optimal Summer_112.5</v>
      </c>
      <c r="B444" s="501" t="s">
        <v>1128</v>
      </c>
      <c r="C444" s="429">
        <v>5</v>
      </c>
      <c r="D444" s="429">
        <v>112.5</v>
      </c>
      <c r="E444" s="431">
        <v>4.38</v>
      </c>
      <c r="F444" s="431">
        <v>5.16</v>
      </c>
      <c r="G444" s="431">
        <v>5.78</v>
      </c>
      <c r="H444" s="431">
        <v>5.61</v>
      </c>
      <c r="I444" s="431">
        <v>5.39</v>
      </c>
      <c r="J444" s="431">
        <v>4.91</v>
      </c>
      <c r="K444" s="431">
        <v>4.82</v>
      </c>
      <c r="L444" s="431">
        <v>4.6500000000000004</v>
      </c>
      <c r="M444" s="431">
        <v>4.3099999999999996</v>
      </c>
      <c r="N444" s="431">
        <v>4.38</v>
      </c>
      <c r="O444" s="431">
        <v>4.38</v>
      </c>
      <c r="P444" s="431">
        <v>4.01</v>
      </c>
      <c r="Q444" s="179">
        <f t="shared" si="11"/>
        <v>4.8150000000000004</v>
      </c>
      <c r="R444" s="179" t="s">
        <v>958</v>
      </c>
    </row>
    <row r="445" spans="1:18" x14ac:dyDescent="0.15">
      <c r="A445" s="179" t="str">
        <f t="shared" si="10"/>
        <v>Coacalco_Optimal Summer_135</v>
      </c>
      <c r="B445" s="501" t="s">
        <v>1128</v>
      </c>
      <c r="C445" s="429">
        <v>5</v>
      </c>
      <c r="D445" s="429">
        <v>135</v>
      </c>
      <c r="E445" s="431">
        <v>4.75</v>
      </c>
      <c r="F445" s="431">
        <v>5.6</v>
      </c>
      <c r="G445" s="431">
        <v>6.28</v>
      </c>
      <c r="H445" s="431">
        <v>6.09</v>
      </c>
      <c r="I445" s="431">
        <v>5.85</v>
      </c>
      <c r="J445" s="431">
        <v>5.33</v>
      </c>
      <c r="K445" s="431">
        <v>5.23</v>
      </c>
      <c r="L445" s="431">
        <v>5.04</v>
      </c>
      <c r="M445" s="431">
        <v>4.68</v>
      </c>
      <c r="N445" s="431">
        <v>4.76</v>
      </c>
      <c r="O445" s="431">
        <v>4.75</v>
      </c>
      <c r="P445" s="431">
        <v>4.3499999999999996</v>
      </c>
      <c r="Q445" s="179">
        <f t="shared" si="11"/>
        <v>5.2258333333333331</v>
      </c>
      <c r="R445" s="179" t="s">
        <v>958</v>
      </c>
    </row>
    <row r="446" spans="1:18" x14ac:dyDescent="0.15">
      <c r="A446" s="179" t="str">
        <f t="shared" si="10"/>
        <v>Coacalco_Optimal Summer_157.5</v>
      </c>
      <c r="B446" s="501" t="s">
        <v>1128</v>
      </c>
      <c r="C446" s="429">
        <v>5</v>
      </c>
      <c r="D446" s="429">
        <v>157.5</v>
      </c>
      <c r="E446" s="431">
        <v>4.74</v>
      </c>
      <c r="F446" s="431">
        <v>5.68</v>
      </c>
      <c r="G446" s="431">
        <v>6.47</v>
      </c>
      <c r="H446" s="431">
        <v>6.38</v>
      </c>
      <c r="I446" s="431">
        <v>6.21</v>
      </c>
      <c r="J446" s="431">
        <v>5.57</v>
      </c>
      <c r="K446" s="431">
        <v>5.48</v>
      </c>
      <c r="L446" s="431">
        <v>5.31</v>
      </c>
      <c r="M446" s="431">
        <v>4.88</v>
      </c>
      <c r="N446" s="431">
        <v>4.87</v>
      </c>
      <c r="O446" s="431">
        <v>4.7699999999999996</v>
      </c>
      <c r="P446" s="431">
        <v>4.34</v>
      </c>
      <c r="Q446" s="179">
        <f t="shared" si="11"/>
        <v>5.3916666666666666</v>
      </c>
      <c r="R446" s="179" t="s">
        <v>958</v>
      </c>
    </row>
    <row r="447" spans="1:18" x14ac:dyDescent="0.15">
      <c r="A447" s="179" t="str">
        <f t="shared" si="10"/>
        <v>Coacalco_Optimal Summer_180</v>
      </c>
      <c r="B447" s="501" t="s">
        <v>1128</v>
      </c>
      <c r="C447" s="429">
        <v>5</v>
      </c>
      <c r="D447" s="429">
        <v>180</v>
      </c>
      <c r="E447" s="431">
        <v>5</v>
      </c>
      <c r="F447" s="431">
        <v>5.9</v>
      </c>
      <c r="G447" s="431">
        <v>6.61</v>
      </c>
      <c r="H447" s="431">
        <v>6.41</v>
      </c>
      <c r="I447" s="431">
        <v>6.16</v>
      </c>
      <c r="J447" s="431">
        <v>5.61</v>
      </c>
      <c r="K447" s="431">
        <v>5.51</v>
      </c>
      <c r="L447" s="431">
        <v>5.31</v>
      </c>
      <c r="M447" s="431">
        <v>4.93</v>
      </c>
      <c r="N447" s="431">
        <v>5.01</v>
      </c>
      <c r="O447" s="431">
        <v>5</v>
      </c>
      <c r="P447" s="431">
        <v>4.58</v>
      </c>
      <c r="Q447" s="179">
        <f t="shared" si="11"/>
        <v>5.5025000000000004</v>
      </c>
      <c r="R447" s="179" t="s">
        <v>958</v>
      </c>
    </row>
    <row r="448" spans="1:18" x14ac:dyDescent="0.15">
      <c r="A448" s="179" t="str">
        <f t="shared" si="10"/>
        <v>Coacalco_Optimal Summer_202.5</v>
      </c>
      <c r="B448" s="501" t="s">
        <v>1128</v>
      </c>
      <c r="C448" s="429">
        <v>5</v>
      </c>
      <c r="D448" s="429">
        <v>202.5</v>
      </c>
      <c r="E448" s="431">
        <v>4.74</v>
      </c>
      <c r="F448" s="431">
        <v>5.68</v>
      </c>
      <c r="G448" s="431">
        <v>6.47</v>
      </c>
      <c r="H448" s="431">
        <v>6.38</v>
      </c>
      <c r="I448" s="431">
        <v>6.21</v>
      </c>
      <c r="J448" s="431">
        <v>5.57</v>
      </c>
      <c r="K448" s="431">
        <v>5.48</v>
      </c>
      <c r="L448" s="431">
        <v>5.31</v>
      </c>
      <c r="M448" s="431">
        <v>4.88</v>
      </c>
      <c r="N448" s="431">
        <v>4.87</v>
      </c>
      <c r="O448" s="431">
        <v>4.7699999999999996</v>
      </c>
      <c r="P448" s="431">
        <v>4.34</v>
      </c>
      <c r="Q448" s="179">
        <f t="shared" si="11"/>
        <v>5.3916666666666666</v>
      </c>
      <c r="R448" s="179" t="s">
        <v>958</v>
      </c>
    </row>
    <row r="449" spans="1:18" x14ac:dyDescent="0.15">
      <c r="A449" s="179" t="str">
        <f t="shared" si="10"/>
        <v>Coacalco_Optimal Summer_225</v>
      </c>
      <c r="B449" s="501" t="s">
        <v>1128</v>
      </c>
      <c r="C449" s="429">
        <v>5</v>
      </c>
      <c r="D449" s="429">
        <v>225</v>
      </c>
      <c r="E449" s="431">
        <v>4.75</v>
      </c>
      <c r="F449" s="431">
        <v>5.6</v>
      </c>
      <c r="G449" s="431">
        <v>6.28</v>
      </c>
      <c r="H449" s="431">
        <v>6.09</v>
      </c>
      <c r="I449" s="431">
        <v>5.85</v>
      </c>
      <c r="J449" s="431">
        <v>5.33</v>
      </c>
      <c r="K449" s="431">
        <v>5.23</v>
      </c>
      <c r="L449" s="431">
        <v>5.04</v>
      </c>
      <c r="M449" s="431">
        <v>4.68</v>
      </c>
      <c r="N449" s="431">
        <v>4.76</v>
      </c>
      <c r="O449" s="431">
        <v>4.75</v>
      </c>
      <c r="P449" s="431">
        <v>4.3499999999999996</v>
      </c>
      <c r="Q449" s="179">
        <f t="shared" si="11"/>
        <v>5.2258333333333331</v>
      </c>
      <c r="R449" s="179" t="s">
        <v>958</v>
      </c>
    </row>
    <row r="450" spans="1:18" x14ac:dyDescent="0.15">
      <c r="A450" s="179" t="str">
        <f t="shared" ref="A450:A513" si="12">B450&amp;"_"&amp;R450&amp;"_"&amp;D450</f>
        <v>Coacalco_Optimal Summer_247.5</v>
      </c>
      <c r="B450" s="501" t="s">
        <v>1128</v>
      </c>
      <c r="C450" s="429">
        <v>5</v>
      </c>
      <c r="D450" s="429">
        <v>247.5</v>
      </c>
      <c r="E450" s="431">
        <v>4.38</v>
      </c>
      <c r="F450" s="431">
        <v>5.16</v>
      </c>
      <c r="G450" s="431">
        <v>5.78</v>
      </c>
      <c r="H450" s="431">
        <v>5.61</v>
      </c>
      <c r="I450" s="431">
        <v>5.39</v>
      </c>
      <c r="J450" s="431">
        <v>4.91</v>
      </c>
      <c r="K450" s="431">
        <v>4.82</v>
      </c>
      <c r="L450" s="431">
        <v>4.6500000000000004</v>
      </c>
      <c r="M450" s="431">
        <v>4.3099999999999996</v>
      </c>
      <c r="N450" s="431">
        <v>4.38</v>
      </c>
      <c r="O450" s="431">
        <v>4.38</v>
      </c>
      <c r="P450" s="431">
        <v>4.01</v>
      </c>
      <c r="Q450" s="179">
        <f t="shared" ref="Q450:Q513" si="13">AVERAGE(E450:P450)</f>
        <v>4.8150000000000004</v>
      </c>
      <c r="R450" s="179" t="s">
        <v>958</v>
      </c>
    </row>
    <row r="451" spans="1:18" x14ac:dyDescent="0.15">
      <c r="A451" s="179" t="str">
        <f t="shared" si="12"/>
        <v>Coacalco_Optimal Summer_270</v>
      </c>
      <c r="B451" s="501" t="s">
        <v>1128</v>
      </c>
      <c r="C451" s="429">
        <v>5</v>
      </c>
      <c r="D451" s="429">
        <v>270</v>
      </c>
      <c r="E451" s="431">
        <v>4</v>
      </c>
      <c r="F451" s="431">
        <v>4.72</v>
      </c>
      <c r="G451" s="431">
        <v>5.29</v>
      </c>
      <c r="H451" s="431">
        <v>5.13</v>
      </c>
      <c r="I451" s="431">
        <v>4.93</v>
      </c>
      <c r="J451" s="431">
        <v>4.49</v>
      </c>
      <c r="K451" s="431">
        <v>4.41</v>
      </c>
      <c r="L451" s="431">
        <v>4.25</v>
      </c>
      <c r="M451" s="431">
        <v>3.94</v>
      </c>
      <c r="N451" s="431">
        <v>4.01</v>
      </c>
      <c r="O451" s="431">
        <v>4</v>
      </c>
      <c r="P451" s="431">
        <v>3.66</v>
      </c>
      <c r="Q451" s="179">
        <f t="shared" si="13"/>
        <v>4.4024999999999999</v>
      </c>
      <c r="R451" s="179" t="s">
        <v>958</v>
      </c>
    </row>
    <row r="452" spans="1:18" x14ac:dyDescent="0.15">
      <c r="A452" s="179" t="str">
        <f t="shared" si="12"/>
        <v>Coacalco_Optimal Year Round_90</v>
      </c>
      <c r="B452" s="501" t="s">
        <v>1128</v>
      </c>
      <c r="C452" s="429">
        <v>20</v>
      </c>
      <c r="D452" s="429">
        <v>90</v>
      </c>
      <c r="E452" s="431">
        <v>4.62</v>
      </c>
      <c r="F452" s="431">
        <v>5.22</v>
      </c>
      <c r="G452" s="431">
        <v>5.5</v>
      </c>
      <c r="H452" s="431">
        <v>5.04</v>
      </c>
      <c r="I452" s="431">
        <v>4.63</v>
      </c>
      <c r="J452" s="431">
        <v>4.46</v>
      </c>
      <c r="K452" s="431">
        <v>4.3600000000000003</v>
      </c>
      <c r="L452" s="431">
        <v>4.1100000000000003</v>
      </c>
      <c r="M452" s="431">
        <v>3.98</v>
      </c>
      <c r="N452" s="431">
        <v>4.2699999999999996</v>
      </c>
      <c r="O452" s="431">
        <v>4.55</v>
      </c>
      <c r="P452" s="431">
        <v>4.24</v>
      </c>
      <c r="Q452" s="179">
        <f t="shared" si="13"/>
        <v>4.5816666666666661</v>
      </c>
      <c r="R452" s="179" t="s">
        <v>993</v>
      </c>
    </row>
    <row r="453" spans="1:18" x14ac:dyDescent="0.15">
      <c r="A453" s="179" t="str">
        <f t="shared" si="12"/>
        <v>Coacalco_Optimal Year Round_112.5</v>
      </c>
      <c r="B453" s="501" t="s">
        <v>1128</v>
      </c>
      <c r="C453" s="429">
        <v>20</v>
      </c>
      <c r="D453" s="429">
        <v>112.5</v>
      </c>
      <c r="E453" s="431">
        <v>5.0599999999999996</v>
      </c>
      <c r="F453" s="431">
        <v>5.7</v>
      </c>
      <c r="G453" s="431">
        <v>6.02</v>
      </c>
      <c r="H453" s="431">
        <v>5.51</v>
      </c>
      <c r="I453" s="431">
        <v>5.07</v>
      </c>
      <c r="J453" s="431">
        <v>4.88</v>
      </c>
      <c r="K453" s="431">
        <v>4.7699999999999996</v>
      </c>
      <c r="L453" s="431">
        <v>4.5</v>
      </c>
      <c r="M453" s="431">
        <v>4.3499999999999996</v>
      </c>
      <c r="N453" s="431">
        <v>4.67</v>
      </c>
      <c r="O453" s="431">
        <v>4.9800000000000004</v>
      </c>
      <c r="P453" s="431">
        <v>4.6399999999999997</v>
      </c>
      <c r="Q453" s="179">
        <f t="shared" si="13"/>
        <v>5.0125000000000002</v>
      </c>
      <c r="R453" s="179" t="s">
        <v>993</v>
      </c>
    </row>
    <row r="454" spans="1:18" x14ac:dyDescent="0.15">
      <c r="A454" s="179" t="str">
        <f t="shared" si="12"/>
        <v>Coacalco_Optimal Year Round_135</v>
      </c>
      <c r="B454" s="501" t="s">
        <v>1128</v>
      </c>
      <c r="C454" s="429">
        <v>20</v>
      </c>
      <c r="D454" s="429">
        <v>135</v>
      </c>
      <c r="E454" s="431">
        <v>5.49</v>
      </c>
      <c r="F454" s="431">
        <v>6.19</v>
      </c>
      <c r="G454" s="431">
        <v>6.54</v>
      </c>
      <c r="H454" s="431">
        <v>5.98</v>
      </c>
      <c r="I454" s="431">
        <v>5.5</v>
      </c>
      <c r="J454" s="431">
        <v>5.3</v>
      </c>
      <c r="K454" s="431">
        <v>5.18</v>
      </c>
      <c r="L454" s="431">
        <v>4.88</v>
      </c>
      <c r="M454" s="431">
        <v>4.72</v>
      </c>
      <c r="N454" s="431">
        <v>5.07</v>
      </c>
      <c r="O454" s="431">
        <v>5.41</v>
      </c>
      <c r="P454" s="431">
        <v>5.04</v>
      </c>
      <c r="Q454" s="179">
        <f t="shared" si="13"/>
        <v>5.4416666666666673</v>
      </c>
      <c r="R454" s="179" t="s">
        <v>993</v>
      </c>
    </row>
    <row r="455" spans="1:18" x14ac:dyDescent="0.15">
      <c r="A455" s="179" t="str">
        <f t="shared" si="12"/>
        <v>Coacalco_Optimal Year Round_157.5</v>
      </c>
      <c r="B455" s="501" t="s">
        <v>1128</v>
      </c>
      <c r="C455" s="429">
        <v>20</v>
      </c>
      <c r="D455" s="429">
        <v>157.5</v>
      </c>
      <c r="E455" s="431">
        <v>5.64</v>
      </c>
      <c r="F455" s="431">
        <v>6.36</v>
      </c>
      <c r="G455" s="431">
        <v>6.71</v>
      </c>
      <c r="H455" s="431">
        <v>6.14</v>
      </c>
      <c r="I455" s="431">
        <v>5.65</v>
      </c>
      <c r="J455" s="431">
        <v>5.44</v>
      </c>
      <c r="K455" s="431">
        <v>5.31</v>
      </c>
      <c r="L455" s="431">
        <v>5.01</v>
      </c>
      <c r="M455" s="431">
        <v>4.8499999999999996</v>
      </c>
      <c r="N455" s="431">
        <v>5.21</v>
      </c>
      <c r="O455" s="431">
        <v>5.55</v>
      </c>
      <c r="P455" s="431">
        <v>5.17</v>
      </c>
      <c r="Q455" s="179">
        <f t="shared" si="13"/>
        <v>5.586666666666666</v>
      </c>
      <c r="R455" s="179" t="s">
        <v>993</v>
      </c>
    </row>
    <row r="456" spans="1:18" x14ac:dyDescent="0.15">
      <c r="A456" s="179" t="str">
        <f t="shared" si="12"/>
        <v>Coacalco_Optimal Year Round_180</v>
      </c>
      <c r="B456" s="501" t="s">
        <v>1128</v>
      </c>
      <c r="C456" s="429">
        <v>20</v>
      </c>
      <c r="D456" s="429">
        <v>180</v>
      </c>
      <c r="E456" s="431">
        <v>5.78</v>
      </c>
      <c r="F456" s="431">
        <v>6.52</v>
      </c>
      <c r="G456" s="431">
        <v>6.88</v>
      </c>
      <c r="H456" s="431">
        <v>6.3</v>
      </c>
      <c r="I456" s="431">
        <v>5.79</v>
      </c>
      <c r="J456" s="431">
        <v>5.58</v>
      </c>
      <c r="K456" s="431">
        <v>5.45</v>
      </c>
      <c r="L456" s="431">
        <v>5.14</v>
      </c>
      <c r="M456" s="431">
        <v>4.97</v>
      </c>
      <c r="N456" s="431">
        <v>5.34</v>
      </c>
      <c r="O456" s="431">
        <v>5.69</v>
      </c>
      <c r="P456" s="431">
        <v>5.3</v>
      </c>
      <c r="Q456" s="179">
        <f t="shared" si="13"/>
        <v>5.7283333333333326</v>
      </c>
      <c r="R456" s="179" t="s">
        <v>993</v>
      </c>
    </row>
    <row r="457" spans="1:18" x14ac:dyDescent="0.15">
      <c r="A457" s="179" t="str">
        <f t="shared" si="12"/>
        <v>Coacalco_Optimal Year Round_202.5</v>
      </c>
      <c r="B457" s="501" t="s">
        <v>1128</v>
      </c>
      <c r="C457" s="429">
        <v>20</v>
      </c>
      <c r="D457" s="429">
        <v>202.5</v>
      </c>
      <c r="E457" s="431">
        <v>5.64</v>
      </c>
      <c r="F457" s="431">
        <v>6.36</v>
      </c>
      <c r="G457" s="431">
        <v>6.71</v>
      </c>
      <c r="H457" s="431">
        <v>6.14</v>
      </c>
      <c r="I457" s="431">
        <v>5.65</v>
      </c>
      <c r="J457" s="431">
        <v>5.44</v>
      </c>
      <c r="K457" s="431">
        <v>5.31</v>
      </c>
      <c r="L457" s="431">
        <v>5.01</v>
      </c>
      <c r="M457" s="431">
        <v>4.8499999999999996</v>
      </c>
      <c r="N457" s="431">
        <v>5.21</v>
      </c>
      <c r="O457" s="431">
        <v>5.55</v>
      </c>
      <c r="P457" s="431">
        <v>5.17</v>
      </c>
      <c r="Q457" s="179">
        <f t="shared" si="13"/>
        <v>5.586666666666666</v>
      </c>
      <c r="R457" s="179" t="s">
        <v>993</v>
      </c>
    </row>
    <row r="458" spans="1:18" x14ac:dyDescent="0.15">
      <c r="A458" s="179" t="str">
        <f t="shared" si="12"/>
        <v>Coacalco_Optimal Year Round_225</v>
      </c>
      <c r="B458" s="501" t="s">
        <v>1128</v>
      </c>
      <c r="C458" s="429">
        <v>20</v>
      </c>
      <c r="D458" s="429">
        <v>225</v>
      </c>
      <c r="E458" s="431">
        <v>5.49</v>
      </c>
      <c r="F458" s="431">
        <v>6.19</v>
      </c>
      <c r="G458" s="431">
        <v>6.54</v>
      </c>
      <c r="H458" s="431">
        <v>5.98</v>
      </c>
      <c r="I458" s="431">
        <v>5.5</v>
      </c>
      <c r="J458" s="431">
        <v>5.3</v>
      </c>
      <c r="K458" s="431">
        <v>5.18</v>
      </c>
      <c r="L458" s="431">
        <v>4.88</v>
      </c>
      <c r="M458" s="431">
        <v>4.72</v>
      </c>
      <c r="N458" s="431">
        <v>5.07</v>
      </c>
      <c r="O458" s="431">
        <v>5.41</v>
      </c>
      <c r="P458" s="431">
        <v>5.04</v>
      </c>
      <c r="Q458" s="179">
        <f t="shared" si="13"/>
        <v>5.4416666666666673</v>
      </c>
      <c r="R458" s="179" t="s">
        <v>993</v>
      </c>
    </row>
    <row r="459" spans="1:18" x14ac:dyDescent="0.15">
      <c r="A459" s="179" t="str">
        <f t="shared" si="12"/>
        <v>Coacalco_Optimal Year Round_247.5</v>
      </c>
      <c r="B459" s="501" t="s">
        <v>1128</v>
      </c>
      <c r="C459" s="429">
        <v>20</v>
      </c>
      <c r="D459" s="429">
        <v>247.5</v>
      </c>
      <c r="E459" s="431">
        <v>5.0599999999999996</v>
      </c>
      <c r="F459" s="431">
        <v>5.7</v>
      </c>
      <c r="G459" s="431">
        <v>6.02</v>
      </c>
      <c r="H459" s="431">
        <v>5.51</v>
      </c>
      <c r="I459" s="431">
        <v>5.07</v>
      </c>
      <c r="J459" s="431">
        <v>4.88</v>
      </c>
      <c r="K459" s="431">
        <v>4.7699999999999996</v>
      </c>
      <c r="L459" s="431">
        <v>4.5</v>
      </c>
      <c r="M459" s="431">
        <v>4.3499999999999996</v>
      </c>
      <c r="N459" s="431">
        <v>4.67</v>
      </c>
      <c r="O459" s="431">
        <v>4.9800000000000004</v>
      </c>
      <c r="P459" s="431">
        <v>4.6399999999999997</v>
      </c>
      <c r="Q459" s="179">
        <f t="shared" si="13"/>
        <v>5.0125000000000002</v>
      </c>
      <c r="R459" s="179" t="s">
        <v>993</v>
      </c>
    </row>
    <row r="460" spans="1:18" x14ac:dyDescent="0.15">
      <c r="A460" s="179" t="str">
        <f t="shared" si="12"/>
        <v>Coacalco_Optimal Year Round_270</v>
      </c>
      <c r="B460" s="501" t="s">
        <v>1128</v>
      </c>
      <c r="C460" s="429">
        <v>20</v>
      </c>
      <c r="D460" s="429">
        <v>270</v>
      </c>
      <c r="E460" s="431">
        <v>4.62</v>
      </c>
      <c r="F460" s="431">
        <v>5.22</v>
      </c>
      <c r="G460" s="431">
        <v>5.5</v>
      </c>
      <c r="H460" s="431">
        <v>5.04</v>
      </c>
      <c r="I460" s="431">
        <v>4.63</v>
      </c>
      <c r="J460" s="431">
        <v>4.46</v>
      </c>
      <c r="K460" s="431">
        <v>4.3600000000000003</v>
      </c>
      <c r="L460" s="431">
        <v>4.1100000000000003</v>
      </c>
      <c r="M460" s="431">
        <v>3.98</v>
      </c>
      <c r="N460" s="431">
        <v>4.2699999999999996</v>
      </c>
      <c r="O460" s="431">
        <v>4.55</v>
      </c>
      <c r="P460" s="431">
        <v>4.24</v>
      </c>
      <c r="Q460" s="179">
        <f t="shared" si="13"/>
        <v>4.5816666666666661</v>
      </c>
      <c r="R460" s="179" t="s">
        <v>993</v>
      </c>
    </row>
    <row r="461" spans="1:18" x14ac:dyDescent="0.15">
      <c r="A461" s="179" t="str">
        <f t="shared" si="12"/>
        <v>Coatzacoalcos_Flat Surface_90</v>
      </c>
      <c r="B461" s="501" t="s">
        <v>1129</v>
      </c>
      <c r="C461" s="429">
        <v>0</v>
      </c>
      <c r="D461" s="429">
        <v>90</v>
      </c>
      <c r="E461" s="431">
        <v>3.59</v>
      </c>
      <c r="F461" s="431">
        <v>4.3899999999999997</v>
      </c>
      <c r="G461" s="431">
        <v>5.5</v>
      </c>
      <c r="H461" s="431">
        <v>6.26</v>
      </c>
      <c r="I461" s="431">
        <v>6.24</v>
      </c>
      <c r="J461" s="431">
        <v>5.83</v>
      </c>
      <c r="K461" s="431">
        <v>5.81</v>
      </c>
      <c r="L461" s="431">
        <v>5.44</v>
      </c>
      <c r="M461" s="431">
        <v>4.7300000000000004</v>
      </c>
      <c r="N461" s="431">
        <v>4.3499999999999996</v>
      </c>
      <c r="O461" s="431">
        <v>3.88</v>
      </c>
      <c r="P461" s="431">
        <v>3.28</v>
      </c>
      <c r="Q461" s="179">
        <f t="shared" si="13"/>
        <v>4.9416666666666673</v>
      </c>
      <c r="R461" s="179" t="s">
        <v>994</v>
      </c>
    </row>
    <row r="462" spans="1:18" x14ac:dyDescent="0.15">
      <c r="A462" s="179" t="str">
        <f t="shared" si="12"/>
        <v>Coatzacoalcos_Flat Surface_112.5</v>
      </c>
      <c r="B462" s="501" t="s">
        <v>1129</v>
      </c>
      <c r="C462" s="429">
        <v>0</v>
      </c>
      <c r="D462" s="429">
        <v>112.5</v>
      </c>
      <c r="E462" s="431">
        <v>3.59</v>
      </c>
      <c r="F462" s="431">
        <v>4.3899999999999997</v>
      </c>
      <c r="G462" s="431">
        <v>5.5</v>
      </c>
      <c r="H462" s="431">
        <v>6.26</v>
      </c>
      <c r="I462" s="431">
        <v>6.24</v>
      </c>
      <c r="J462" s="431">
        <v>5.83</v>
      </c>
      <c r="K462" s="431">
        <v>5.81</v>
      </c>
      <c r="L462" s="431">
        <v>5.44</v>
      </c>
      <c r="M462" s="431">
        <v>4.7300000000000004</v>
      </c>
      <c r="N462" s="431">
        <v>4.3499999999999996</v>
      </c>
      <c r="O462" s="431">
        <v>3.88</v>
      </c>
      <c r="P462" s="431">
        <v>3.28</v>
      </c>
      <c r="Q462" s="179">
        <f t="shared" si="13"/>
        <v>4.9416666666666673</v>
      </c>
      <c r="R462" s="179" t="s">
        <v>994</v>
      </c>
    </row>
    <row r="463" spans="1:18" x14ac:dyDescent="0.15">
      <c r="A463" s="179" t="str">
        <f t="shared" si="12"/>
        <v>Coatzacoalcos_Flat Surface_135</v>
      </c>
      <c r="B463" s="501" t="s">
        <v>1129</v>
      </c>
      <c r="C463" s="429">
        <v>0</v>
      </c>
      <c r="D463" s="429">
        <v>135</v>
      </c>
      <c r="E463" s="431">
        <v>3.59</v>
      </c>
      <c r="F463" s="431">
        <v>4.3899999999999997</v>
      </c>
      <c r="G463" s="431">
        <v>5.5</v>
      </c>
      <c r="H463" s="431">
        <v>6.26</v>
      </c>
      <c r="I463" s="431">
        <v>6.24</v>
      </c>
      <c r="J463" s="431">
        <v>5.83</v>
      </c>
      <c r="K463" s="431">
        <v>5.81</v>
      </c>
      <c r="L463" s="431">
        <v>5.44</v>
      </c>
      <c r="M463" s="431">
        <v>4.7300000000000004</v>
      </c>
      <c r="N463" s="431">
        <v>4.3499999999999996</v>
      </c>
      <c r="O463" s="431">
        <v>3.88</v>
      </c>
      <c r="P463" s="431">
        <v>3.28</v>
      </c>
      <c r="Q463" s="179">
        <f t="shared" si="13"/>
        <v>4.9416666666666673</v>
      </c>
      <c r="R463" s="179" t="s">
        <v>994</v>
      </c>
    </row>
    <row r="464" spans="1:18" x14ac:dyDescent="0.15">
      <c r="A464" s="179" t="str">
        <f t="shared" si="12"/>
        <v>Coatzacoalcos_Flat Surface_157.5</v>
      </c>
      <c r="B464" s="501" t="s">
        <v>1129</v>
      </c>
      <c r="C464" s="429">
        <v>0</v>
      </c>
      <c r="D464" s="429">
        <v>157.5</v>
      </c>
      <c r="E464" s="431">
        <v>3.59</v>
      </c>
      <c r="F464" s="431">
        <v>4.3899999999999997</v>
      </c>
      <c r="G464" s="431">
        <v>5.5</v>
      </c>
      <c r="H464" s="431">
        <v>6.26</v>
      </c>
      <c r="I464" s="431">
        <v>6.24</v>
      </c>
      <c r="J464" s="431">
        <v>5.83</v>
      </c>
      <c r="K464" s="431">
        <v>5.81</v>
      </c>
      <c r="L464" s="431">
        <v>5.44</v>
      </c>
      <c r="M464" s="431">
        <v>4.7300000000000004</v>
      </c>
      <c r="N464" s="431">
        <v>4.3499999999999996</v>
      </c>
      <c r="O464" s="431">
        <v>3.88</v>
      </c>
      <c r="P464" s="431">
        <v>3.28</v>
      </c>
      <c r="Q464" s="179">
        <f t="shared" si="13"/>
        <v>4.9416666666666673</v>
      </c>
      <c r="R464" s="179" t="s">
        <v>994</v>
      </c>
    </row>
    <row r="465" spans="1:18" x14ac:dyDescent="0.15">
      <c r="A465" s="179" t="str">
        <f t="shared" si="12"/>
        <v>Coatzacoalcos_Flat Surface_180</v>
      </c>
      <c r="B465" s="501" t="s">
        <v>1129</v>
      </c>
      <c r="C465" s="429">
        <v>0</v>
      </c>
      <c r="D465" s="429">
        <v>180</v>
      </c>
      <c r="E465" s="431">
        <v>3.59</v>
      </c>
      <c r="F465" s="431">
        <v>4.3899999999999997</v>
      </c>
      <c r="G465" s="431">
        <v>5.5</v>
      </c>
      <c r="H465" s="431">
        <v>6.26</v>
      </c>
      <c r="I465" s="431">
        <v>6.24</v>
      </c>
      <c r="J465" s="431">
        <v>5.83</v>
      </c>
      <c r="K465" s="431">
        <v>5.81</v>
      </c>
      <c r="L465" s="431">
        <v>5.44</v>
      </c>
      <c r="M465" s="431">
        <v>4.7300000000000004</v>
      </c>
      <c r="N465" s="431">
        <v>4.3499999999999996</v>
      </c>
      <c r="O465" s="431">
        <v>3.88</v>
      </c>
      <c r="P465" s="431">
        <v>3.28</v>
      </c>
      <c r="Q465" s="179">
        <f t="shared" si="13"/>
        <v>4.9416666666666673</v>
      </c>
      <c r="R465" s="179" t="s">
        <v>994</v>
      </c>
    </row>
    <row r="466" spans="1:18" x14ac:dyDescent="0.15">
      <c r="A466" s="179" t="str">
        <f t="shared" si="12"/>
        <v>Coatzacoalcos_Flat Surface_202.5</v>
      </c>
      <c r="B466" s="501" t="s">
        <v>1129</v>
      </c>
      <c r="C466" s="429">
        <v>0</v>
      </c>
      <c r="D466" s="429">
        <v>202.5</v>
      </c>
      <c r="E466" s="431">
        <v>3.59</v>
      </c>
      <c r="F466" s="431">
        <v>4.3899999999999997</v>
      </c>
      <c r="G466" s="431">
        <v>5.5</v>
      </c>
      <c r="H466" s="431">
        <v>6.26</v>
      </c>
      <c r="I466" s="431">
        <v>6.24</v>
      </c>
      <c r="J466" s="431">
        <v>5.83</v>
      </c>
      <c r="K466" s="431">
        <v>5.81</v>
      </c>
      <c r="L466" s="431">
        <v>5.44</v>
      </c>
      <c r="M466" s="431">
        <v>4.7300000000000004</v>
      </c>
      <c r="N466" s="431">
        <v>4.3499999999999996</v>
      </c>
      <c r="O466" s="431">
        <v>3.88</v>
      </c>
      <c r="P466" s="431">
        <v>3.28</v>
      </c>
      <c r="Q466" s="179">
        <f t="shared" si="13"/>
        <v>4.9416666666666673</v>
      </c>
      <c r="R466" s="179" t="s">
        <v>994</v>
      </c>
    </row>
    <row r="467" spans="1:18" x14ac:dyDescent="0.15">
      <c r="A467" s="179" t="str">
        <f t="shared" si="12"/>
        <v>Coatzacoalcos_Flat Surface_225</v>
      </c>
      <c r="B467" s="501" t="s">
        <v>1129</v>
      </c>
      <c r="C467" s="429">
        <v>0</v>
      </c>
      <c r="D467" s="429">
        <v>225</v>
      </c>
      <c r="E467" s="431">
        <v>3.59</v>
      </c>
      <c r="F467" s="431">
        <v>4.3899999999999997</v>
      </c>
      <c r="G467" s="431">
        <v>5.5</v>
      </c>
      <c r="H467" s="431">
        <v>6.26</v>
      </c>
      <c r="I467" s="431">
        <v>6.24</v>
      </c>
      <c r="J467" s="431">
        <v>5.83</v>
      </c>
      <c r="K467" s="431">
        <v>5.81</v>
      </c>
      <c r="L467" s="431">
        <v>5.44</v>
      </c>
      <c r="M467" s="431">
        <v>4.7300000000000004</v>
      </c>
      <c r="N467" s="431">
        <v>4.3499999999999996</v>
      </c>
      <c r="O467" s="431">
        <v>3.88</v>
      </c>
      <c r="P467" s="431">
        <v>3.28</v>
      </c>
      <c r="Q467" s="179">
        <f t="shared" si="13"/>
        <v>4.9416666666666673</v>
      </c>
      <c r="R467" s="179" t="s">
        <v>994</v>
      </c>
    </row>
    <row r="468" spans="1:18" x14ac:dyDescent="0.15">
      <c r="A468" s="179" t="str">
        <f t="shared" si="12"/>
        <v>Coatzacoalcos_Flat Surface_247.5</v>
      </c>
      <c r="B468" s="501" t="s">
        <v>1129</v>
      </c>
      <c r="C468" s="429">
        <v>0</v>
      </c>
      <c r="D468" s="429">
        <v>247.5</v>
      </c>
      <c r="E468" s="431">
        <v>3.59</v>
      </c>
      <c r="F468" s="431">
        <v>4.3899999999999997</v>
      </c>
      <c r="G468" s="431">
        <v>5.5</v>
      </c>
      <c r="H468" s="431">
        <v>6.26</v>
      </c>
      <c r="I468" s="431">
        <v>6.24</v>
      </c>
      <c r="J468" s="431">
        <v>5.83</v>
      </c>
      <c r="K468" s="431">
        <v>5.81</v>
      </c>
      <c r="L468" s="431">
        <v>5.44</v>
      </c>
      <c r="M468" s="431">
        <v>4.7300000000000004</v>
      </c>
      <c r="N468" s="431">
        <v>4.3499999999999996</v>
      </c>
      <c r="O468" s="431">
        <v>3.88</v>
      </c>
      <c r="P468" s="431">
        <v>3.28</v>
      </c>
      <c r="Q468" s="179">
        <f t="shared" si="13"/>
        <v>4.9416666666666673</v>
      </c>
      <c r="R468" s="179" t="s">
        <v>994</v>
      </c>
    </row>
    <row r="469" spans="1:18" x14ac:dyDescent="0.15">
      <c r="A469" s="179" t="str">
        <f t="shared" si="12"/>
        <v>Coatzacoalcos_Flat Surface_270</v>
      </c>
      <c r="B469" s="501" t="s">
        <v>1129</v>
      </c>
      <c r="C469" s="429">
        <v>0</v>
      </c>
      <c r="D469" s="429">
        <v>270</v>
      </c>
      <c r="E469" s="431">
        <v>3.59</v>
      </c>
      <c r="F469" s="431">
        <v>4.3899999999999997</v>
      </c>
      <c r="G469" s="431">
        <v>5.5</v>
      </c>
      <c r="H469" s="431">
        <v>6.26</v>
      </c>
      <c r="I469" s="431">
        <v>6.24</v>
      </c>
      <c r="J469" s="431">
        <v>5.83</v>
      </c>
      <c r="K469" s="431">
        <v>5.81</v>
      </c>
      <c r="L469" s="431">
        <v>5.44</v>
      </c>
      <c r="M469" s="431">
        <v>4.7300000000000004</v>
      </c>
      <c r="N469" s="431">
        <v>4.3499999999999996</v>
      </c>
      <c r="O469" s="431">
        <v>3.88</v>
      </c>
      <c r="P469" s="431">
        <v>3.28</v>
      </c>
      <c r="Q469" s="179">
        <f t="shared" si="13"/>
        <v>4.9416666666666673</v>
      </c>
      <c r="R469" s="179" t="s">
        <v>994</v>
      </c>
    </row>
    <row r="470" spans="1:18" x14ac:dyDescent="0.15">
      <c r="A470" s="179" t="str">
        <f t="shared" si="12"/>
        <v>Coatzacoalcos_Optimal Summer_90</v>
      </c>
      <c r="B470" s="501" t="s">
        <v>1129</v>
      </c>
      <c r="C470" s="429">
        <v>3</v>
      </c>
      <c r="D470" s="429">
        <v>90</v>
      </c>
      <c r="E470" s="431">
        <v>2.95</v>
      </c>
      <c r="F470" s="431">
        <v>3.58</v>
      </c>
      <c r="G470" s="431">
        <v>4.46</v>
      </c>
      <c r="H470" s="431">
        <v>5.0199999999999996</v>
      </c>
      <c r="I470" s="431">
        <v>5.01</v>
      </c>
      <c r="J470" s="431">
        <v>4.7</v>
      </c>
      <c r="K470" s="431">
        <v>4.67</v>
      </c>
      <c r="L470" s="431">
        <v>4.3499999999999996</v>
      </c>
      <c r="M470" s="431">
        <v>3.82</v>
      </c>
      <c r="N470" s="431">
        <v>3.54</v>
      </c>
      <c r="O470" s="431">
        <v>3.19</v>
      </c>
      <c r="P470" s="431">
        <v>2.7</v>
      </c>
      <c r="Q470" s="179">
        <f t="shared" si="13"/>
        <v>3.9991666666666661</v>
      </c>
      <c r="R470" s="179" t="s">
        <v>958</v>
      </c>
    </row>
    <row r="471" spans="1:18" x14ac:dyDescent="0.15">
      <c r="A471" s="179" t="str">
        <f t="shared" si="12"/>
        <v>Coatzacoalcos_Optimal Summer_112.5</v>
      </c>
      <c r="B471" s="501" t="s">
        <v>1129</v>
      </c>
      <c r="C471" s="429">
        <v>3</v>
      </c>
      <c r="D471" s="429">
        <v>112.5</v>
      </c>
      <c r="E471" s="431">
        <v>3.23</v>
      </c>
      <c r="F471" s="431">
        <v>3.92</v>
      </c>
      <c r="G471" s="431">
        <v>4.87</v>
      </c>
      <c r="H471" s="431">
        <v>5.49</v>
      </c>
      <c r="I471" s="431">
        <v>5.48</v>
      </c>
      <c r="J471" s="431">
        <v>5.14</v>
      </c>
      <c r="K471" s="431">
        <v>5.1100000000000003</v>
      </c>
      <c r="L471" s="431">
        <v>4.76</v>
      </c>
      <c r="M471" s="431">
        <v>4.17</v>
      </c>
      <c r="N471" s="431">
        <v>3.87</v>
      </c>
      <c r="O471" s="431">
        <v>3.49</v>
      </c>
      <c r="P471" s="431">
        <v>2.96</v>
      </c>
      <c r="Q471" s="179">
        <f t="shared" si="13"/>
        <v>4.3741666666666665</v>
      </c>
      <c r="R471" s="179" t="s">
        <v>958</v>
      </c>
    </row>
    <row r="472" spans="1:18" x14ac:dyDescent="0.15">
      <c r="A472" s="179" t="str">
        <f t="shared" si="12"/>
        <v>Coatzacoalcos_Optimal Summer_135</v>
      </c>
      <c r="B472" s="501" t="s">
        <v>1129</v>
      </c>
      <c r="C472" s="429">
        <v>3</v>
      </c>
      <c r="D472" s="429">
        <v>135</v>
      </c>
      <c r="E472" s="431">
        <v>3.51</v>
      </c>
      <c r="F472" s="431">
        <v>4.26</v>
      </c>
      <c r="G472" s="431">
        <v>5.29</v>
      </c>
      <c r="H472" s="431">
        <v>5.96</v>
      </c>
      <c r="I472" s="431">
        <v>5.95</v>
      </c>
      <c r="J472" s="431">
        <v>5.58</v>
      </c>
      <c r="K472" s="431">
        <v>5.55</v>
      </c>
      <c r="L472" s="431">
        <v>5.17</v>
      </c>
      <c r="M472" s="431">
        <v>4.53</v>
      </c>
      <c r="N472" s="431">
        <v>4.2</v>
      </c>
      <c r="O472" s="431">
        <v>3.79</v>
      </c>
      <c r="P472" s="431">
        <v>3.21</v>
      </c>
      <c r="Q472" s="179">
        <f t="shared" si="13"/>
        <v>4.75</v>
      </c>
      <c r="R472" s="179" t="s">
        <v>958</v>
      </c>
    </row>
    <row r="473" spans="1:18" x14ac:dyDescent="0.15">
      <c r="A473" s="179" t="str">
        <f t="shared" si="12"/>
        <v>Coatzacoalcos_Optimal Summer_157.5</v>
      </c>
      <c r="B473" s="501" t="s">
        <v>1129</v>
      </c>
      <c r="C473" s="429">
        <v>3</v>
      </c>
      <c r="D473" s="429">
        <v>157.5</v>
      </c>
      <c r="E473" s="431">
        <v>3.6</v>
      </c>
      <c r="F473" s="431">
        <v>4.37</v>
      </c>
      <c r="G473" s="431">
        <v>5.43</v>
      </c>
      <c r="H473" s="431">
        <v>6.11</v>
      </c>
      <c r="I473" s="431">
        <v>6.1</v>
      </c>
      <c r="J473" s="431">
        <v>5.72</v>
      </c>
      <c r="K473" s="431">
        <v>5.69</v>
      </c>
      <c r="L473" s="431">
        <v>5.3</v>
      </c>
      <c r="M473" s="431">
        <v>4.6500000000000004</v>
      </c>
      <c r="N473" s="431">
        <v>4.3099999999999996</v>
      </c>
      <c r="O473" s="431">
        <v>3.89</v>
      </c>
      <c r="P473" s="431">
        <v>3.3</v>
      </c>
      <c r="Q473" s="179">
        <f t="shared" si="13"/>
        <v>4.8724999999999996</v>
      </c>
      <c r="R473" s="179" t="s">
        <v>958</v>
      </c>
    </row>
    <row r="474" spans="1:18" x14ac:dyDescent="0.15">
      <c r="A474" s="179" t="str">
        <f t="shared" si="12"/>
        <v>Coatzacoalcos_Optimal Summer_180</v>
      </c>
      <c r="B474" s="501" t="s">
        <v>1129</v>
      </c>
      <c r="C474" s="429">
        <v>3</v>
      </c>
      <c r="D474" s="429">
        <v>180</v>
      </c>
      <c r="E474" s="431">
        <v>3.69</v>
      </c>
      <c r="F474" s="431">
        <v>4.4800000000000004</v>
      </c>
      <c r="G474" s="431">
        <v>5.57</v>
      </c>
      <c r="H474" s="431">
        <v>6.27</v>
      </c>
      <c r="I474" s="431">
        <v>6.26</v>
      </c>
      <c r="J474" s="431">
        <v>5.87</v>
      </c>
      <c r="K474" s="431">
        <v>5.84</v>
      </c>
      <c r="L474" s="431">
        <v>5.44</v>
      </c>
      <c r="M474" s="431">
        <v>4.7699999999999996</v>
      </c>
      <c r="N474" s="431">
        <v>4.42</v>
      </c>
      <c r="O474" s="431">
        <v>3.99</v>
      </c>
      <c r="P474" s="431">
        <v>3.38</v>
      </c>
      <c r="Q474" s="179">
        <f t="shared" si="13"/>
        <v>4.9983333333333322</v>
      </c>
      <c r="R474" s="179" t="s">
        <v>958</v>
      </c>
    </row>
    <row r="475" spans="1:18" x14ac:dyDescent="0.15">
      <c r="A475" s="179" t="str">
        <f t="shared" si="12"/>
        <v>Coatzacoalcos_Optimal Summer_202.5</v>
      </c>
      <c r="B475" s="501" t="s">
        <v>1129</v>
      </c>
      <c r="C475" s="429">
        <v>3</v>
      </c>
      <c r="D475" s="429">
        <v>202.5</v>
      </c>
      <c r="E475" s="431">
        <v>3.6</v>
      </c>
      <c r="F475" s="431">
        <v>4.37</v>
      </c>
      <c r="G475" s="431">
        <v>5.43</v>
      </c>
      <c r="H475" s="431">
        <v>6.11</v>
      </c>
      <c r="I475" s="431">
        <v>6.1</v>
      </c>
      <c r="J475" s="431">
        <v>5.72</v>
      </c>
      <c r="K475" s="431">
        <v>5.69</v>
      </c>
      <c r="L475" s="431">
        <v>5.3</v>
      </c>
      <c r="M475" s="431">
        <v>4.6500000000000004</v>
      </c>
      <c r="N475" s="431">
        <v>4.3099999999999996</v>
      </c>
      <c r="O475" s="431">
        <v>3.89</v>
      </c>
      <c r="P475" s="431">
        <v>3.3</v>
      </c>
      <c r="Q475" s="179">
        <f t="shared" si="13"/>
        <v>4.8724999999999996</v>
      </c>
      <c r="R475" s="179" t="s">
        <v>958</v>
      </c>
    </row>
    <row r="476" spans="1:18" x14ac:dyDescent="0.15">
      <c r="A476" s="179" t="str">
        <f t="shared" si="12"/>
        <v>Coatzacoalcos_Optimal Summer_225</v>
      </c>
      <c r="B476" s="501" t="s">
        <v>1129</v>
      </c>
      <c r="C476" s="429">
        <v>3</v>
      </c>
      <c r="D476" s="429">
        <v>225</v>
      </c>
      <c r="E476" s="431">
        <v>3.51</v>
      </c>
      <c r="F476" s="431">
        <v>4.26</v>
      </c>
      <c r="G476" s="431">
        <v>5.29</v>
      </c>
      <c r="H476" s="431">
        <v>5.96</v>
      </c>
      <c r="I476" s="431">
        <v>5.95</v>
      </c>
      <c r="J476" s="431">
        <v>5.58</v>
      </c>
      <c r="K476" s="431">
        <v>5.55</v>
      </c>
      <c r="L476" s="431">
        <v>5.17</v>
      </c>
      <c r="M476" s="431">
        <v>4.53</v>
      </c>
      <c r="N476" s="431">
        <v>4.2</v>
      </c>
      <c r="O476" s="431">
        <v>3.79</v>
      </c>
      <c r="P476" s="431">
        <v>3.21</v>
      </c>
      <c r="Q476" s="179">
        <f t="shared" si="13"/>
        <v>4.75</v>
      </c>
      <c r="R476" s="179" t="s">
        <v>958</v>
      </c>
    </row>
    <row r="477" spans="1:18" x14ac:dyDescent="0.15">
      <c r="A477" s="179" t="str">
        <f t="shared" si="12"/>
        <v>Coatzacoalcos_Optimal Summer_247.5</v>
      </c>
      <c r="B477" s="501" t="s">
        <v>1129</v>
      </c>
      <c r="C477" s="429">
        <v>3</v>
      </c>
      <c r="D477" s="429">
        <v>247.5</v>
      </c>
      <c r="E477" s="431">
        <v>3.23</v>
      </c>
      <c r="F477" s="431">
        <v>3.92</v>
      </c>
      <c r="G477" s="431">
        <v>4.87</v>
      </c>
      <c r="H477" s="431">
        <v>5.49</v>
      </c>
      <c r="I477" s="431">
        <v>5.48</v>
      </c>
      <c r="J477" s="431">
        <v>5.14</v>
      </c>
      <c r="K477" s="431">
        <v>5.1100000000000003</v>
      </c>
      <c r="L477" s="431">
        <v>4.76</v>
      </c>
      <c r="M477" s="431">
        <v>4.17</v>
      </c>
      <c r="N477" s="431">
        <v>3.87</v>
      </c>
      <c r="O477" s="431">
        <v>3.49</v>
      </c>
      <c r="P477" s="431">
        <v>2.96</v>
      </c>
      <c r="Q477" s="179">
        <f t="shared" si="13"/>
        <v>4.3741666666666665</v>
      </c>
      <c r="R477" s="179" t="s">
        <v>958</v>
      </c>
    </row>
    <row r="478" spans="1:18" x14ac:dyDescent="0.15">
      <c r="A478" s="179" t="str">
        <f t="shared" si="12"/>
        <v>Coatzacoalcos_Optimal Summer_270</v>
      </c>
      <c r="B478" s="501" t="s">
        <v>1129</v>
      </c>
      <c r="C478" s="429">
        <v>3</v>
      </c>
      <c r="D478" s="429">
        <v>270</v>
      </c>
      <c r="E478" s="431">
        <v>2.95</v>
      </c>
      <c r="F478" s="431">
        <v>3.58</v>
      </c>
      <c r="G478" s="431">
        <v>4.46</v>
      </c>
      <c r="H478" s="431">
        <v>5.0199999999999996</v>
      </c>
      <c r="I478" s="431">
        <v>5.01</v>
      </c>
      <c r="J478" s="431">
        <v>4.7</v>
      </c>
      <c r="K478" s="431">
        <v>4.67</v>
      </c>
      <c r="L478" s="431">
        <v>4.3499999999999996</v>
      </c>
      <c r="M478" s="431">
        <v>3.82</v>
      </c>
      <c r="N478" s="431">
        <v>3.54</v>
      </c>
      <c r="O478" s="431">
        <v>3.19</v>
      </c>
      <c r="P478" s="431">
        <v>2.7</v>
      </c>
      <c r="Q478" s="179">
        <f t="shared" si="13"/>
        <v>3.9991666666666661</v>
      </c>
      <c r="R478" s="179" t="s">
        <v>958</v>
      </c>
    </row>
    <row r="479" spans="1:18" x14ac:dyDescent="0.15">
      <c r="A479" s="179" t="str">
        <f t="shared" si="12"/>
        <v>Coatzacoalcos_Optimal Year Round_90</v>
      </c>
      <c r="B479" s="501" t="s">
        <v>1129</v>
      </c>
      <c r="C479" s="429">
        <v>18</v>
      </c>
      <c r="D479" s="429">
        <v>90</v>
      </c>
      <c r="E479" s="431">
        <v>3.28</v>
      </c>
      <c r="F479" s="431">
        <v>3.86</v>
      </c>
      <c r="G479" s="431">
        <v>4.5999999999999996</v>
      </c>
      <c r="H479" s="431">
        <v>4.93</v>
      </c>
      <c r="I479" s="431">
        <v>4.93</v>
      </c>
      <c r="J479" s="431">
        <v>4.7</v>
      </c>
      <c r="K479" s="431">
        <v>4.66</v>
      </c>
      <c r="L479" s="431">
        <v>4.21</v>
      </c>
      <c r="M479" s="431">
        <v>3.84</v>
      </c>
      <c r="N479" s="431">
        <v>3.73</v>
      </c>
      <c r="O479" s="431">
        <v>3.52</v>
      </c>
      <c r="P479" s="431">
        <v>3.02</v>
      </c>
      <c r="Q479" s="179">
        <f t="shared" si="13"/>
        <v>4.1066666666666665</v>
      </c>
      <c r="R479" s="179" t="s">
        <v>993</v>
      </c>
    </row>
    <row r="480" spans="1:18" x14ac:dyDescent="0.15">
      <c r="A480" s="179" t="str">
        <f t="shared" si="12"/>
        <v>Coatzacoalcos_Optimal Year Round_112.5</v>
      </c>
      <c r="B480" s="501" t="s">
        <v>1129</v>
      </c>
      <c r="C480" s="429">
        <v>18</v>
      </c>
      <c r="D480" s="429">
        <v>112.5</v>
      </c>
      <c r="E480" s="431">
        <v>3.59</v>
      </c>
      <c r="F480" s="431">
        <v>4.22</v>
      </c>
      <c r="G480" s="431">
        <v>5.03</v>
      </c>
      <c r="H480" s="431">
        <v>5.39</v>
      </c>
      <c r="I480" s="431">
        <v>5.39</v>
      </c>
      <c r="J480" s="431">
        <v>5.14</v>
      </c>
      <c r="K480" s="431">
        <v>5.09</v>
      </c>
      <c r="L480" s="431">
        <v>4.5999999999999996</v>
      </c>
      <c r="M480" s="431">
        <v>4.2</v>
      </c>
      <c r="N480" s="431">
        <v>4.08</v>
      </c>
      <c r="O480" s="431">
        <v>3.85</v>
      </c>
      <c r="P480" s="431">
        <v>3.31</v>
      </c>
      <c r="Q480" s="179">
        <f t="shared" si="13"/>
        <v>4.4908333333333337</v>
      </c>
      <c r="R480" s="179" t="s">
        <v>993</v>
      </c>
    </row>
    <row r="481" spans="1:18" x14ac:dyDescent="0.15">
      <c r="A481" s="179" t="str">
        <f t="shared" si="12"/>
        <v>Coatzacoalcos_Optimal Year Round_135</v>
      </c>
      <c r="B481" s="501" t="s">
        <v>1129</v>
      </c>
      <c r="C481" s="429">
        <v>18</v>
      </c>
      <c r="D481" s="429">
        <v>135</v>
      </c>
      <c r="E481" s="431">
        <v>3.9</v>
      </c>
      <c r="F481" s="431">
        <v>4.58</v>
      </c>
      <c r="G481" s="431">
        <v>5.46</v>
      </c>
      <c r="H481" s="431">
        <v>5.85</v>
      </c>
      <c r="I481" s="431">
        <v>5.85</v>
      </c>
      <c r="J481" s="431">
        <v>5.59</v>
      </c>
      <c r="K481" s="431">
        <v>5.53</v>
      </c>
      <c r="L481" s="431">
        <v>5</v>
      </c>
      <c r="M481" s="431">
        <v>4.5599999999999996</v>
      </c>
      <c r="N481" s="431">
        <v>4.43</v>
      </c>
      <c r="O481" s="431">
        <v>4.18</v>
      </c>
      <c r="P481" s="431">
        <v>3.59</v>
      </c>
      <c r="Q481" s="179">
        <f t="shared" si="13"/>
        <v>4.876666666666666</v>
      </c>
      <c r="R481" s="179" t="s">
        <v>993</v>
      </c>
    </row>
    <row r="482" spans="1:18" x14ac:dyDescent="0.15">
      <c r="A482" s="179" t="str">
        <f t="shared" si="12"/>
        <v>Coatzacoalcos_Optimal Year Round_157.5</v>
      </c>
      <c r="B482" s="501" t="s">
        <v>1129</v>
      </c>
      <c r="C482" s="429">
        <v>18</v>
      </c>
      <c r="D482" s="429">
        <v>157.5</v>
      </c>
      <c r="E482" s="431">
        <v>4</v>
      </c>
      <c r="F482" s="431">
        <v>4.7</v>
      </c>
      <c r="G482" s="431">
        <v>5.61</v>
      </c>
      <c r="H482" s="431">
        <v>6.01</v>
      </c>
      <c r="I482" s="431">
        <v>6.01</v>
      </c>
      <c r="J482" s="431">
        <v>5.73</v>
      </c>
      <c r="K482" s="431">
        <v>5.67</v>
      </c>
      <c r="L482" s="431">
        <v>5.13</v>
      </c>
      <c r="M482" s="431">
        <v>4.68</v>
      </c>
      <c r="N482" s="431">
        <v>4.54</v>
      </c>
      <c r="O482" s="431">
        <v>4.29</v>
      </c>
      <c r="P482" s="431">
        <v>3.69</v>
      </c>
      <c r="Q482" s="179">
        <f t="shared" si="13"/>
        <v>5.0049999999999999</v>
      </c>
      <c r="R482" s="179" t="s">
        <v>993</v>
      </c>
    </row>
    <row r="483" spans="1:18" x14ac:dyDescent="0.15">
      <c r="A483" s="179" t="str">
        <f t="shared" si="12"/>
        <v>Coatzacoalcos_Optimal Year Round_180</v>
      </c>
      <c r="B483" s="501" t="s">
        <v>1129</v>
      </c>
      <c r="C483" s="429">
        <v>18</v>
      </c>
      <c r="D483" s="429">
        <v>180</v>
      </c>
      <c r="E483" s="431">
        <v>4.0999999999999996</v>
      </c>
      <c r="F483" s="431">
        <v>4.82</v>
      </c>
      <c r="G483" s="431">
        <v>5.75</v>
      </c>
      <c r="H483" s="431">
        <v>6.16</v>
      </c>
      <c r="I483" s="431">
        <v>6.16</v>
      </c>
      <c r="J483" s="431">
        <v>5.88</v>
      </c>
      <c r="K483" s="431">
        <v>5.82</v>
      </c>
      <c r="L483" s="431">
        <v>5.26</v>
      </c>
      <c r="M483" s="431">
        <v>4.8</v>
      </c>
      <c r="N483" s="431">
        <v>4.66</v>
      </c>
      <c r="O483" s="431">
        <v>4.4000000000000004</v>
      </c>
      <c r="P483" s="431">
        <v>3.78</v>
      </c>
      <c r="Q483" s="179">
        <f t="shared" si="13"/>
        <v>5.1324999999999994</v>
      </c>
      <c r="R483" s="179" t="s">
        <v>993</v>
      </c>
    </row>
    <row r="484" spans="1:18" x14ac:dyDescent="0.15">
      <c r="A484" s="179" t="str">
        <f t="shared" si="12"/>
        <v>Coatzacoalcos_Optimal Year Round_202.5</v>
      </c>
      <c r="B484" s="501" t="s">
        <v>1129</v>
      </c>
      <c r="C484" s="429">
        <v>18</v>
      </c>
      <c r="D484" s="429">
        <v>202.5</v>
      </c>
      <c r="E484" s="431">
        <v>4</v>
      </c>
      <c r="F484" s="431">
        <v>4.7</v>
      </c>
      <c r="G484" s="431">
        <v>5.61</v>
      </c>
      <c r="H484" s="431">
        <v>6.01</v>
      </c>
      <c r="I484" s="431">
        <v>6.01</v>
      </c>
      <c r="J484" s="431">
        <v>5.73</v>
      </c>
      <c r="K484" s="431">
        <v>5.67</v>
      </c>
      <c r="L484" s="431">
        <v>5.13</v>
      </c>
      <c r="M484" s="431">
        <v>4.68</v>
      </c>
      <c r="N484" s="431">
        <v>4.54</v>
      </c>
      <c r="O484" s="431">
        <v>4.29</v>
      </c>
      <c r="P484" s="431">
        <v>3.69</v>
      </c>
      <c r="Q484" s="179">
        <f t="shared" si="13"/>
        <v>5.0049999999999999</v>
      </c>
      <c r="R484" s="179" t="s">
        <v>993</v>
      </c>
    </row>
    <row r="485" spans="1:18" x14ac:dyDescent="0.15">
      <c r="A485" s="179" t="str">
        <f t="shared" si="12"/>
        <v>Coatzacoalcos_Optimal Year Round_225</v>
      </c>
      <c r="B485" s="501" t="s">
        <v>1129</v>
      </c>
      <c r="C485" s="429">
        <v>18</v>
      </c>
      <c r="D485" s="429">
        <v>225</v>
      </c>
      <c r="E485" s="431">
        <v>3.9</v>
      </c>
      <c r="F485" s="431">
        <v>4.58</v>
      </c>
      <c r="G485" s="431">
        <v>5.46</v>
      </c>
      <c r="H485" s="431">
        <v>5.85</v>
      </c>
      <c r="I485" s="431">
        <v>5.85</v>
      </c>
      <c r="J485" s="431">
        <v>5.59</v>
      </c>
      <c r="K485" s="431">
        <v>5.53</v>
      </c>
      <c r="L485" s="431">
        <v>5</v>
      </c>
      <c r="M485" s="431">
        <v>4.5599999999999996</v>
      </c>
      <c r="N485" s="431">
        <v>4.43</v>
      </c>
      <c r="O485" s="431">
        <v>4.18</v>
      </c>
      <c r="P485" s="431">
        <v>3.59</v>
      </c>
      <c r="Q485" s="179">
        <f t="shared" si="13"/>
        <v>4.876666666666666</v>
      </c>
      <c r="R485" s="179" t="s">
        <v>993</v>
      </c>
    </row>
    <row r="486" spans="1:18" x14ac:dyDescent="0.15">
      <c r="A486" s="179" t="str">
        <f t="shared" si="12"/>
        <v>Coatzacoalcos_Optimal Year Round_247.5</v>
      </c>
      <c r="B486" s="501" t="s">
        <v>1129</v>
      </c>
      <c r="C486" s="429">
        <v>18</v>
      </c>
      <c r="D486" s="429">
        <v>247.5</v>
      </c>
      <c r="E486" s="431">
        <v>3.59</v>
      </c>
      <c r="F486" s="431">
        <v>4.22</v>
      </c>
      <c r="G486" s="431">
        <v>5.03</v>
      </c>
      <c r="H486" s="431">
        <v>5.39</v>
      </c>
      <c r="I486" s="431">
        <v>5.39</v>
      </c>
      <c r="J486" s="431">
        <v>5.14</v>
      </c>
      <c r="K486" s="431">
        <v>5.09</v>
      </c>
      <c r="L486" s="431">
        <v>4.5999999999999996</v>
      </c>
      <c r="M486" s="431">
        <v>4.2</v>
      </c>
      <c r="N486" s="431">
        <v>4.08</v>
      </c>
      <c r="O486" s="431">
        <v>3.85</v>
      </c>
      <c r="P486" s="431">
        <v>3.31</v>
      </c>
      <c r="Q486" s="179">
        <f t="shared" si="13"/>
        <v>4.4908333333333337</v>
      </c>
      <c r="R486" s="179" t="s">
        <v>993</v>
      </c>
    </row>
    <row r="487" spans="1:18" x14ac:dyDescent="0.15">
      <c r="A487" s="179" t="str">
        <f t="shared" si="12"/>
        <v>Coatzacoalcos_Optimal Year Round_270</v>
      </c>
      <c r="B487" s="501" t="s">
        <v>1129</v>
      </c>
      <c r="C487" s="429">
        <v>18</v>
      </c>
      <c r="D487" s="429">
        <v>270</v>
      </c>
      <c r="E487" s="431">
        <v>3.28</v>
      </c>
      <c r="F487" s="431">
        <v>3.86</v>
      </c>
      <c r="G487" s="431">
        <v>4.5999999999999996</v>
      </c>
      <c r="H487" s="431">
        <v>4.93</v>
      </c>
      <c r="I487" s="431">
        <v>4.93</v>
      </c>
      <c r="J487" s="431">
        <v>4.7</v>
      </c>
      <c r="K487" s="431">
        <v>4.66</v>
      </c>
      <c r="L487" s="431">
        <v>4.21</v>
      </c>
      <c r="M487" s="431">
        <v>3.84</v>
      </c>
      <c r="N487" s="431">
        <v>3.73</v>
      </c>
      <c r="O487" s="431">
        <v>3.52</v>
      </c>
      <c r="P487" s="431">
        <v>3.02</v>
      </c>
      <c r="Q487" s="179">
        <f t="shared" si="13"/>
        <v>4.1066666666666665</v>
      </c>
      <c r="R487" s="179" t="s">
        <v>993</v>
      </c>
    </row>
    <row r="488" spans="1:18" x14ac:dyDescent="0.15">
      <c r="A488" s="179" t="str">
        <f t="shared" si="12"/>
        <v>Colonia del Valle_Flat Surface_90</v>
      </c>
      <c r="B488" s="501" t="s">
        <v>1130</v>
      </c>
      <c r="C488" s="429">
        <v>0</v>
      </c>
      <c r="D488" s="429">
        <v>90</v>
      </c>
      <c r="E488" s="431">
        <v>4.74</v>
      </c>
      <c r="F488" s="431">
        <v>5.68</v>
      </c>
      <c r="G488" s="431">
        <v>6.47</v>
      </c>
      <c r="H488" s="431">
        <v>6.38</v>
      </c>
      <c r="I488" s="431">
        <v>6.21</v>
      </c>
      <c r="J488" s="431">
        <v>5.57</v>
      </c>
      <c r="K488" s="431">
        <v>5.48</v>
      </c>
      <c r="L488" s="431">
        <v>5.31</v>
      </c>
      <c r="M488" s="431">
        <v>4.88</v>
      </c>
      <c r="N488" s="431">
        <v>4.87</v>
      </c>
      <c r="O488" s="431">
        <v>4.7699999999999996</v>
      </c>
      <c r="P488" s="431">
        <v>4.34</v>
      </c>
      <c r="Q488" s="179">
        <f t="shared" si="13"/>
        <v>5.3916666666666666</v>
      </c>
      <c r="R488" s="179" t="s">
        <v>994</v>
      </c>
    </row>
    <row r="489" spans="1:18" x14ac:dyDescent="0.15">
      <c r="A489" s="179" t="str">
        <f t="shared" si="12"/>
        <v>Colonia del Valle_Flat Surface_112.5</v>
      </c>
      <c r="B489" s="501" t="s">
        <v>1130</v>
      </c>
      <c r="C489" s="429">
        <v>0</v>
      </c>
      <c r="D489" s="429">
        <v>112.5</v>
      </c>
      <c r="E489" s="431">
        <v>4.74</v>
      </c>
      <c r="F489" s="431">
        <v>5.68</v>
      </c>
      <c r="G489" s="431">
        <v>6.47</v>
      </c>
      <c r="H489" s="431">
        <v>6.38</v>
      </c>
      <c r="I489" s="431">
        <v>6.21</v>
      </c>
      <c r="J489" s="431">
        <v>5.57</v>
      </c>
      <c r="K489" s="431">
        <v>5.48</v>
      </c>
      <c r="L489" s="431">
        <v>5.31</v>
      </c>
      <c r="M489" s="431">
        <v>4.88</v>
      </c>
      <c r="N489" s="431">
        <v>4.87</v>
      </c>
      <c r="O489" s="431">
        <v>4.7699999999999996</v>
      </c>
      <c r="P489" s="431">
        <v>4.34</v>
      </c>
      <c r="Q489" s="179">
        <f t="shared" si="13"/>
        <v>5.3916666666666666</v>
      </c>
      <c r="R489" s="179" t="s">
        <v>994</v>
      </c>
    </row>
    <row r="490" spans="1:18" x14ac:dyDescent="0.15">
      <c r="A490" s="179" t="str">
        <f t="shared" si="12"/>
        <v>Colonia del Valle_Flat Surface_135</v>
      </c>
      <c r="B490" s="501" t="s">
        <v>1130</v>
      </c>
      <c r="C490" s="429">
        <v>0</v>
      </c>
      <c r="D490" s="429">
        <v>135</v>
      </c>
      <c r="E490" s="431">
        <v>4.74</v>
      </c>
      <c r="F490" s="431">
        <v>5.68</v>
      </c>
      <c r="G490" s="431">
        <v>6.47</v>
      </c>
      <c r="H490" s="431">
        <v>6.38</v>
      </c>
      <c r="I490" s="431">
        <v>6.21</v>
      </c>
      <c r="J490" s="431">
        <v>5.57</v>
      </c>
      <c r="K490" s="431">
        <v>5.48</v>
      </c>
      <c r="L490" s="431">
        <v>5.31</v>
      </c>
      <c r="M490" s="431">
        <v>4.88</v>
      </c>
      <c r="N490" s="431">
        <v>4.87</v>
      </c>
      <c r="O490" s="431">
        <v>4.7699999999999996</v>
      </c>
      <c r="P490" s="431">
        <v>4.34</v>
      </c>
      <c r="Q490" s="179">
        <f t="shared" si="13"/>
        <v>5.3916666666666666</v>
      </c>
      <c r="R490" s="179" t="s">
        <v>994</v>
      </c>
    </row>
    <row r="491" spans="1:18" x14ac:dyDescent="0.15">
      <c r="A491" s="179" t="str">
        <f t="shared" si="12"/>
        <v>Colonia del Valle_Flat Surface_157.5</v>
      </c>
      <c r="B491" s="501" t="s">
        <v>1130</v>
      </c>
      <c r="C491" s="429">
        <v>0</v>
      </c>
      <c r="D491" s="429">
        <v>157.5</v>
      </c>
      <c r="E491" s="431">
        <v>4.74</v>
      </c>
      <c r="F491" s="431">
        <v>5.68</v>
      </c>
      <c r="G491" s="431">
        <v>6.47</v>
      </c>
      <c r="H491" s="431">
        <v>6.38</v>
      </c>
      <c r="I491" s="431">
        <v>6.21</v>
      </c>
      <c r="J491" s="431">
        <v>5.57</v>
      </c>
      <c r="K491" s="431">
        <v>5.48</v>
      </c>
      <c r="L491" s="431">
        <v>5.31</v>
      </c>
      <c r="M491" s="431">
        <v>4.88</v>
      </c>
      <c r="N491" s="431">
        <v>4.87</v>
      </c>
      <c r="O491" s="431">
        <v>4.7699999999999996</v>
      </c>
      <c r="P491" s="431">
        <v>4.34</v>
      </c>
      <c r="Q491" s="179">
        <f t="shared" si="13"/>
        <v>5.3916666666666666</v>
      </c>
      <c r="R491" s="179" t="s">
        <v>994</v>
      </c>
    </row>
    <row r="492" spans="1:18" x14ac:dyDescent="0.15">
      <c r="A492" s="179" t="str">
        <f t="shared" si="12"/>
        <v>Colonia del Valle_Flat Surface_180</v>
      </c>
      <c r="B492" s="501" t="s">
        <v>1130</v>
      </c>
      <c r="C492" s="429">
        <v>0</v>
      </c>
      <c r="D492" s="429">
        <v>180</v>
      </c>
      <c r="E492" s="431">
        <v>4.74</v>
      </c>
      <c r="F492" s="431">
        <v>5.68</v>
      </c>
      <c r="G492" s="431">
        <v>6.47</v>
      </c>
      <c r="H492" s="431">
        <v>6.38</v>
      </c>
      <c r="I492" s="431">
        <v>6.21</v>
      </c>
      <c r="J492" s="431">
        <v>5.57</v>
      </c>
      <c r="K492" s="431">
        <v>5.48</v>
      </c>
      <c r="L492" s="431">
        <v>5.31</v>
      </c>
      <c r="M492" s="431">
        <v>4.88</v>
      </c>
      <c r="N492" s="431">
        <v>4.87</v>
      </c>
      <c r="O492" s="431">
        <v>4.7699999999999996</v>
      </c>
      <c r="P492" s="431">
        <v>4.34</v>
      </c>
      <c r="Q492" s="179">
        <f t="shared" si="13"/>
        <v>5.3916666666666666</v>
      </c>
      <c r="R492" s="179" t="s">
        <v>994</v>
      </c>
    </row>
    <row r="493" spans="1:18" x14ac:dyDescent="0.15">
      <c r="A493" s="179" t="str">
        <f t="shared" si="12"/>
        <v>Colonia del Valle_Flat Surface_202.5</v>
      </c>
      <c r="B493" s="501" t="s">
        <v>1130</v>
      </c>
      <c r="C493" s="429">
        <v>0</v>
      </c>
      <c r="D493" s="429">
        <v>202.5</v>
      </c>
      <c r="E493" s="431">
        <v>4.74</v>
      </c>
      <c r="F493" s="431">
        <v>5.68</v>
      </c>
      <c r="G493" s="431">
        <v>6.47</v>
      </c>
      <c r="H493" s="431">
        <v>6.38</v>
      </c>
      <c r="I493" s="431">
        <v>6.21</v>
      </c>
      <c r="J493" s="431">
        <v>5.57</v>
      </c>
      <c r="K493" s="431">
        <v>5.48</v>
      </c>
      <c r="L493" s="431">
        <v>5.31</v>
      </c>
      <c r="M493" s="431">
        <v>4.88</v>
      </c>
      <c r="N493" s="431">
        <v>4.87</v>
      </c>
      <c r="O493" s="431">
        <v>4.7699999999999996</v>
      </c>
      <c r="P493" s="431">
        <v>4.34</v>
      </c>
      <c r="Q493" s="179">
        <f t="shared" si="13"/>
        <v>5.3916666666666666</v>
      </c>
      <c r="R493" s="179" t="s">
        <v>994</v>
      </c>
    </row>
    <row r="494" spans="1:18" x14ac:dyDescent="0.15">
      <c r="A494" s="179" t="str">
        <f t="shared" si="12"/>
        <v>Colonia del Valle_Flat Surface_225</v>
      </c>
      <c r="B494" s="501" t="s">
        <v>1130</v>
      </c>
      <c r="C494" s="429">
        <v>0</v>
      </c>
      <c r="D494" s="429">
        <v>225</v>
      </c>
      <c r="E494" s="431">
        <v>4.74</v>
      </c>
      <c r="F494" s="431">
        <v>5.68</v>
      </c>
      <c r="G494" s="431">
        <v>6.47</v>
      </c>
      <c r="H494" s="431">
        <v>6.38</v>
      </c>
      <c r="I494" s="431">
        <v>6.21</v>
      </c>
      <c r="J494" s="431">
        <v>5.57</v>
      </c>
      <c r="K494" s="431">
        <v>5.48</v>
      </c>
      <c r="L494" s="431">
        <v>5.31</v>
      </c>
      <c r="M494" s="431">
        <v>4.88</v>
      </c>
      <c r="N494" s="431">
        <v>4.87</v>
      </c>
      <c r="O494" s="431">
        <v>4.7699999999999996</v>
      </c>
      <c r="P494" s="431">
        <v>4.34</v>
      </c>
      <c r="Q494" s="179">
        <f t="shared" si="13"/>
        <v>5.3916666666666666</v>
      </c>
      <c r="R494" s="179" t="s">
        <v>994</v>
      </c>
    </row>
    <row r="495" spans="1:18" x14ac:dyDescent="0.15">
      <c r="A495" s="179" t="str">
        <f t="shared" si="12"/>
        <v>Colonia del Valle_Flat Surface_247.5</v>
      </c>
      <c r="B495" s="501" t="s">
        <v>1130</v>
      </c>
      <c r="C495" s="429">
        <v>0</v>
      </c>
      <c r="D495" s="429">
        <v>247.5</v>
      </c>
      <c r="E495" s="431">
        <v>4.74</v>
      </c>
      <c r="F495" s="431">
        <v>5.68</v>
      </c>
      <c r="G495" s="431">
        <v>6.47</v>
      </c>
      <c r="H495" s="431">
        <v>6.38</v>
      </c>
      <c r="I495" s="431">
        <v>6.21</v>
      </c>
      <c r="J495" s="431">
        <v>5.57</v>
      </c>
      <c r="K495" s="431">
        <v>5.48</v>
      </c>
      <c r="L495" s="431">
        <v>5.31</v>
      </c>
      <c r="M495" s="431">
        <v>4.88</v>
      </c>
      <c r="N495" s="431">
        <v>4.87</v>
      </c>
      <c r="O495" s="431">
        <v>4.7699999999999996</v>
      </c>
      <c r="P495" s="431">
        <v>4.34</v>
      </c>
      <c r="Q495" s="179">
        <f t="shared" si="13"/>
        <v>5.3916666666666666</v>
      </c>
      <c r="R495" s="179" t="s">
        <v>994</v>
      </c>
    </row>
    <row r="496" spans="1:18" x14ac:dyDescent="0.15">
      <c r="A496" s="179" t="str">
        <f t="shared" si="12"/>
        <v>Colonia del Valle_Flat Surface_270</v>
      </c>
      <c r="B496" s="501" t="s">
        <v>1130</v>
      </c>
      <c r="C496" s="429">
        <v>0</v>
      </c>
      <c r="D496" s="429">
        <v>270</v>
      </c>
      <c r="E496" s="431">
        <v>4.74</v>
      </c>
      <c r="F496" s="431">
        <v>5.68</v>
      </c>
      <c r="G496" s="431">
        <v>6.47</v>
      </c>
      <c r="H496" s="431">
        <v>6.38</v>
      </c>
      <c r="I496" s="431">
        <v>6.21</v>
      </c>
      <c r="J496" s="431">
        <v>5.57</v>
      </c>
      <c r="K496" s="431">
        <v>5.48</v>
      </c>
      <c r="L496" s="431">
        <v>5.31</v>
      </c>
      <c r="M496" s="431">
        <v>4.88</v>
      </c>
      <c r="N496" s="431">
        <v>4.87</v>
      </c>
      <c r="O496" s="431">
        <v>4.7699999999999996</v>
      </c>
      <c r="P496" s="431">
        <v>4.34</v>
      </c>
      <c r="Q496" s="179">
        <f t="shared" si="13"/>
        <v>5.3916666666666666</v>
      </c>
      <c r="R496" s="179" t="s">
        <v>994</v>
      </c>
    </row>
    <row r="497" spans="1:18" x14ac:dyDescent="0.15">
      <c r="A497" s="179" t="str">
        <f t="shared" si="12"/>
        <v>Colonia del Valle_Optimal Summer_90</v>
      </c>
      <c r="B497" s="501" t="s">
        <v>1130</v>
      </c>
      <c r="C497" s="429">
        <v>4</v>
      </c>
      <c r="D497" s="429">
        <v>90</v>
      </c>
      <c r="E497" s="431">
        <v>4</v>
      </c>
      <c r="F497" s="431">
        <v>4.72</v>
      </c>
      <c r="G497" s="431">
        <v>5.29</v>
      </c>
      <c r="H497" s="431">
        <v>5.13</v>
      </c>
      <c r="I497" s="431">
        <v>4.93</v>
      </c>
      <c r="J497" s="431">
        <v>4.49</v>
      </c>
      <c r="K497" s="431">
        <v>4.41</v>
      </c>
      <c r="L497" s="431">
        <v>4.25</v>
      </c>
      <c r="M497" s="431">
        <v>3.94</v>
      </c>
      <c r="N497" s="431">
        <v>4</v>
      </c>
      <c r="O497" s="431">
        <v>4</v>
      </c>
      <c r="P497" s="431">
        <v>3.66</v>
      </c>
      <c r="Q497" s="179">
        <f t="shared" si="13"/>
        <v>4.4016666666666664</v>
      </c>
      <c r="R497" s="179" t="s">
        <v>958</v>
      </c>
    </row>
    <row r="498" spans="1:18" x14ac:dyDescent="0.15">
      <c r="A498" s="179" t="str">
        <f t="shared" si="12"/>
        <v>Colonia del Valle_Optimal Summer_112.5</v>
      </c>
      <c r="B498" s="501" t="s">
        <v>1130</v>
      </c>
      <c r="C498" s="429">
        <v>4</v>
      </c>
      <c r="D498" s="429">
        <v>112.5</v>
      </c>
      <c r="E498" s="431">
        <v>4.38</v>
      </c>
      <c r="F498" s="431">
        <v>5.16</v>
      </c>
      <c r="G498" s="431">
        <v>5.78</v>
      </c>
      <c r="H498" s="431">
        <v>5.61</v>
      </c>
      <c r="I498" s="431">
        <v>5.39</v>
      </c>
      <c r="J498" s="431">
        <v>4.91</v>
      </c>
      <c r="K498" s="431">
        <v>4.82</v>
      </c>
      <c r="L498" s="431">
        <v>4.6500000000000004</v>
      </c>
      <c r="M498" s="431">
        <v>4.3099999999999996</v>
      </c>
      <c r="N498" s="431">
        <v>4.38</v>
      </c>
      <c r="O498" s="431">
        <v>4.38</v>
      </c>
      <c r="P498" s="431">
        <v>4</v>
      </c>
      <c r="Q498" s="179">
        <f t="shared" si="13"/>
        <v>4.8141666666666669</v>
      </c>
      <c r="R498" s="179" t="s">
        <v>958</v>
      </c>
    </row>
    <row r="499" spans="1:18" x14ac:dyDescent="0.15">
      <c r="A499" s="179" t="str">
        <f t="shared" si="12"/>
        <v>Colonia del Valle_Optimal Summer_135</v>
      </c>
      <c r="B499" s="501" t="s">
        <v>1130</v>
      </c>
      <c r="C499" s="429">
        <v>4</v>
      </c>
      <c r="D499" s="429">
        <v>135</v>
      </c>
      <c r="E499" s="431">
        <v>4.75</v>
      </c>
      <c r="F499" s="431">
        <v>5.6</v>
      </c>
      <c r="G499" s="431">
        <v>6.28</v>
      </c>
      <c r="H499" s="431">
        <v>6.09</v>
      </c>
      <c r="I499" s="431">
        <v>5.85</v>
      </c>
      <c r="J499" s="431">
        <v>5.33</v>
      </c>
      <c r="K499" s="431">
        <v>5.23</v>
      </c>
      <c r="L499" s="431">
        <v>5.04</v>
      </c>
      <c r="M499" s="431">
        <v>4.68</v>
      </c>
      <c r="N499" s="431">
        <v>4.75</v>
      </c>
      <c r="O499" s="431">
        <v>4.75</v>
      </c>
      <c r="P499" s="431">
        <v>4.34</v>
      </c>
      <c r="Q499" s="179">
        <f t="shared" si="13"/>
        <v>5.2241666666666662</v>
      </c>
      <c r="R499" s="179" t="s">
        <v>958</v>
      </c>
    </row>
    <row r="500" spans="1:18" x14ac:dyDescent="0.15">
      <c r="A500" s="179" t="str">
        <f t="shared" si="12"/>
        <v>Colonia del Valle_Optimal Summer_157.5</v>
      </c>
      <c r="B500" s="501" t="s">
        <v>1130</v>
      </c>
      <c r="C500" s="429">
        <v>4</v>
      </c>
      <c r="D500" s="429">
        <v>157.5</v>
      </c>
      <c r="E500" s="431">
        <v>4.88</v>
      </c>
      <c r="F500" s="431">
        <v>5.75</v>
      </c>
      <c r="G500" s="431">
        <v>6.44</v>
      </c>
      <c r="H500" s="431">
        <v>6.25</v>
      </c>
      <c r="I500" s="431">
        <v>6.01</v>
      </c>
      <c r="J500" s="431">
        <v>5.47</v>
      </c>
      <c r="K500" s="431">
        <v>5.37</v>
      </c>
      <c r="L500" s="431">
        <v>5.18</v>
      </c>
      <c r="M500" s="431">
        <v>4.8099999999999996</v>
      </c>
      <c r="N500" s="431">
        <v>4.88</v>
      </c>
      <c r="O500" s="431">
        <v>4.88</v>
      </c>
      <c r="P500" s="431">
        <v>4.46</v>
      </c>
      <c r="Q500" s="179">
        <f t="shared" si="13"/>
        <v>5.3649999999999993</v>
      </c>
      <c r="R500" s="179" t="s">
        <v>958</v>
      </c>
    </row>
    <row r="501" spans="1:18" x14ac:dyDescent="0.15">
      <c r="A501" s="179" t="str">
        <f t="shared" si="12"/>
        <v>Colonia del Valle_Optimal Summer_180</v>
      </c>
      <c r="B501" s="501" t="s">
        <v>1130</v>
      </c>
      <c r="C501" s="429">
        <v>4</v>
      </c>
      <c r="D501" s="429">
        <v>180</v>
      </c>
      <c r="E501" s="431">
        <v>5</v>
      </c>
      <c r="F501" s="431">
        <v>5.9</v>
      </c>
      <c r="G501" s="431">
        <v>6.61</v>
      </c>
      <c r="H501" s="431">
        <v>6.41</v>
      </c>
      <c r="I501" s="431">
        <v>6.16</v>
      </c>
      <c r="J501" s="431">
        <v>5.61</v>
      </c>
      <c r="K501" s="431">
        <v>5.51</v>
      </c>
      <c r="L501" s="431">
        <v>5.31</v>
      </c>
      <c r="M501" s="431">
        <v>4.93</v>
      </c>
      <c r="N501" s="431">
        <v>5</v>
      </c>
      <c r="O501" s="431">
        <v>5</v>
      </c>
      <c r="P501" s="431">
        <v>4.57</v>
      </c>
      <c r="Q501" s="179">
        <f t="shared" si="13"/>
        <v>5.5008333333333335</v>
      </c>
      <c r="R501" s="179" t="s">
        <v>958</v>
      </c>
    </row>
    <row r="502" spans="1:18" x14ac:dyDescent="0.15">
      <c r="A502" s="179" t="str">
        <f t="shared" si="12"/>
        <v>Colonia del Valle_Optimal Summer_202.5</v>
      </c>
      <c r="B502" s="501" t="s">
        <v>1130</v>
      </c>
      <c r="C502" s="429">
        <v>4</v>
      </c>
      <c r="D502" s="429">
        <v>202.5</v>
      </c>
      <c r="E502" s="431">
        <v>4.88</v>
      </c>
      <c r="F502" s="431">
        <v>5.75</v>
      </c>
      <c r="G502" s="431">
        <v>6.44</v>
      </c>
      <c r="H502" s="431">
        <v>6.25</v>
      </c>
      <c r="I502" s="431">
        <v>6.01</v>
      </c>
      <c r="J502" s="431">
        <v>5.47</v>
      </c>
      <c r="K502" s="431">
        <v>5.37</v>
      </c>
      <c r="L502" s="431">
        <v>5.18</v>
      </c>
      <c r="M502" s="431">
        <v>4.8099999999999996</v>
      </c>
      <c r="N502" s="431">
        <v>4.88</v>
      </c>
      <c r="O502" s="431">
        <v>4.88</v>
      </c>
      <c r="P502" s="431">
        <v>4.46</v>
      </c>
      <c r="Q502" s="179">
        <f t="shared" si="13"/>
        <v>5.3649999999999993</v>
      </c>
      <c r="R502" s="179" t="s">
        <v>958</v>
      </c>
    </row>
    <row r="503" spans="1:18" x14ac:dyDescent="0.15">
      <c r="A503" s="179" t="str">
        <f t="shared" si="12"/>
        <v>Colonia del Valle_Optimal Summer_225</v>
      </c>
      <c r="B503" s="501" t="s">
        <v>1130</v>
      </c>
      <c r="C503" s="429">
        <v>4</v>
      </c>
      <c r="D503" s="429">
        <v>225</v>
      </c>
      <c r="E503" s="431">
        <v>4.75</v>
      </c>
      <c r="F503" s="431">
        <v>5.6</v>
      </c>
      <c r="G503" s="431">
        <v>6.28</v>
      </c>
      <c r="H503" s="431">
        <v>6.09</v>
      </c>
      <c r="I503" s="431">
        <v>5.85</v>
      </c>
      <c r="J503" s="431">
        <v>5.33</v>
      </c>
      <c r="K503" s="431">
        <v>5.23</v>
      </c>
      <c r="L503" s="431">
        <v>5.04</v>
      </c>
      <c r="M503" s="431">
        <v>4.68</v>
      </c>
      <c r="N503" s="431">
        <v>4.75</v>
      </c>
      <c r="O503" s="431">
        <v>4.75</v>
      </c>
      <c r="P503" s="431">
        <v>4.34</v>
      </c>
      <c r="Q503" s="179">
        <f t="shared" si="13"/>
        <v>5.2241666666666662</v>
      </c>
      <c r="R503" s="179" t="s">
        <v>958</v>
      </c>
    </row>
    <row r="504" spans="1:18" x14ac:dyDescent="0.15">
      <c r="A504" s="179" t="str">
        <f t="shared" si="12"/>
        <v>Colonia del Valle_Optimal Summer_247.5</v>
      </c>
      <c r="B504" s="501" t="s">
        <v>1130</v>
      </c>
      <c r="C504" s="429">
        <v>4</v>
      </c>
      <c r="D504" s="429">
        <v>247.5</v>
      </c>
      <c r="E504" s="431">
        <v>4.38</v>
      </c>
      <c r="F504" s="431">
        <v>5.16</v>
      </c>
      <c r="G504" s="431">
        <v>5.78</v>
      </c>
      <c r="H504" s="431">
        <v>5.61</v>
      </c>
      <c r="I504" s="431">
        <v>5.39</v>
      </c>
      <c r="J504" s="431">
        <v>4.91</v>
      </c>
      <c r="K504" s="431">
        <v>4.82</v>
      </c>
      <c r="L504" s="431">
        <v>4.6500000000000004</v>
      </c>
      <c r="M504" s="431">
        <v>4.3099999999999996</v>
      </c>
      <c r="N504" s="431">
        <v>4.38</v>
      </c>
      <c r="O504" s="431">
        <v>4.38</v>
      </c>
      <c r="P504" s="431">
        <v>4</v>
      </c>
      <c r="Q504" s="179">
        <f t="shared" si="13"/>
        <v>4.8141666666666669</v>
      </c>
      <c r="R504" s="179" t="s">
        <v>958</v>
      </c>
    </row>
    <row r="505" spans="1:18" x14ac:dyDescent="0.15">
      <c r="A505" s="179" t="str">
        <f t="shared" si="12"/>
        <v>Colonia del Valle_Optimal Summer_270</v>
      </c>
      <c r="B505" s="501" t="s">
        <v>1130</v>
      </c>
      <c r="C505" s="429">
        <v>4</v>
      </c>
      <c r="D505" s="429">
        <v>270</v>
      </c>
      <c r="E505" s="431">
        <v>4</v>
      </c>
      <c r="F505" s="431">
        <v>4.72</v>
      </c>
      <c r="G505" s="431">
        <v>5.29</v>
      </c>
      <c r="H505" s="431">
        <v>5.13</v>
      </c>
      <c r="I505" s="431">
        <v>4.93</v>
      </c>
      <c r="J505" s="431">
        <v>4.49</v>
      </c>
      <c r="K505" s="431">
        <v>4.41</v>
      </c>
      <c r="L505" s="431">
        <v>4.25</v>
      </c>
      <c r="M505" s="431">
        <v>3.94</v>
      </c>
      <c r="N505" s="431">
        <v>4</v>
      </c>
      <c r="O505" s="431">
        <v>4</v>
      </c>
      <c r="P505" s="431">
        <v>3.66</v>
      </c>
      <c r="Q505" s="179">
        <f t="shared" si="13"/>
        <v>4.4016666666666664</v>
      </c>
      <c r="R505" s="179" t="s">
        <v>958</v>
      </c>
    </row>
    <row r="506" spans="1:18" x14ac:dyDescent="0.15">
      <c r="A506" s="179" t="str">
        <f t="shared" si="12"/>
        <v>Colonia del Valle_Optimal Year Round_90</v>
      </c>
      <c r="B506" s="501" t="s">
        <v>1130</v>
      </c>
      <c r="C506" s="429">
        <v>19</v>
      </c>
      <c r="D506" s="429">
        <v>90</v>
      </c>
      <c r="E506" s="431">
        <v>4.62</v>
      </c>
      <c r="F506" s="431">
        <v>5.21</v>
      </c>
      <c r="G506" s="431">
        <v>5.5</v>
      </c>
      <c r="H506" s="431">
        <v>5.03</v>
      </c>
      <c r="I506" s="431">
        <v>4.63</v>
      </c>
      <c r="J506" s="431">
        <v>4.47</v>
      </c>
      <c r="K506" s="431">
        <v>4.37</v>
      </c>
      <c r="L506" s="431">
        <v>4.1100000000000003</v>
      </c>
      <c r="M506" s="431">
        <v>3.98</v>
      </c>
      <c r="N506" s="431">
        <v>4.26</v>
      </c>
      <c r="O506" s="431">
        <v>4.54</v>
      </c>
      <c r="P506" s="431">
        <v>4.2300000000000004</v>
      </c>
      <c r="Q506" s="179">
        <f t="shared" si="13"/>
        <v>4.5791666666666657</v>
      </c>
      <c r="R506" s="179" t="s">
        <v>993</v>
      </c>
    </row>
    <row r="507" spans="1:18" x14ac:dyDescent="0.15">
      <c r="A507" s="179" t="str">
        <f t="shared" si="12"/>
        <v>Colonia del Valle_Optimal Year Round_112.5</v>
      </c>
      <c r="B507" s="501" t="s">
        <v>1130</v>
      </c>
      <c r="C507" s="429">
        <v>19</v>
      </c>
      <c r="D507" s="429">
        <v>112.5</v>
      </c>
      <c r="E507" s="431">
        <v>5.0599999999999996</v>
      </c>
      <c r="F507" s="431">
        <v>5.7</v>
      </c>
      <c r="G507" s="431">
        <v>6.02</v>
      </c>
      <c r="H507" s="431">
        <v>5.5</v>
      </c>
      <c r="I507" s="431">
        <v>5.07</v>
      </c>
      <c r="J507" s="431">
        <v>4.8899999999999997</v>
      </c>
      <c r="K507" s="431">
        <v>4.78</v>
      </c>
      <c r="L507" s="431">
        <v>4.5</v>
      </c>
      <c r="M507" s="431">
        <v>4.3499999999999996</v>
      </c>
      <c r="N507" s="431">
        <v>4.66</v>
      </c>
      <c r="O507" s="431">
        <v>4.97</v>
      </c>
      <c r="P507" s="431">
        <v>4.63</v>
      </c>
      <c r="Q507" s="179">
        <f t="shared" si="13"/>
        <v>5.0108333333333333</v>
      </c>
      <c r="R507" s="179" t="s">
        <v>993</v>
      </c>
    </row>
    <row r="508" spans="1:18" x14ac:dyDescent="0.15">
      <c r="A508" s="179" t="str">
        <f t="shared" si="12"/>
        <v>Colonia del Valle_Optimal Year Round_135</v>
      </c>
      <c r="B508" s="501" t="s">
        <v>1130</v>
      </c>
      <c r="C508" s="429">
        <v>19</v>
      </c>
      <c r="D508" s="429">
        <v>135</v>
      </c>
      <c r="E508" s="431">
        <v>5.49</v>
      </c>
      <c r="F508" s="431">
        <v>6.18</v>
      </c>
      <c r="G508" s="431">
        <v>6.54</v>
      </c>
      <c r="H508" s="431">
        <v>5.98</v>
      </c>
      <c r="I508" s="431">
        <v>5.5</v>
      </c>
      <c r="J508" s="431">
        <v>5.31</v>
      </c>
      <c r="K508" s="431">
        <v>5.19</v>
      </c>
      <c r="L508" s="431">
        <v>4.88</v>
      </c>
      <c r="M508" s="431">
        <v>4.72</v>
      </c>
      <c r="N508" s="431">
        <v>5.0599999999999996</v>
      </c>
      <c r="O508" s="431">
        <v>5.4</v>
      </c>
      <c r="P508" s="431">
        <v>5.03</v>
      </c>
      <c r="Q508" s="179">
        <f t="shared" si="13"/>
        <v>5.44</v>
      </c>
      <c r="R508" s="179" t="s">
        <v>993</v>
      </c>
    </row>
    <row r="509" spans="1:18" x14ac:dyDescent="0.15">
      <c r="A509" s="179" t="str">
        <f t="shared" si="12"/>
        <v>Colonia del Valle_Optimal Year Round_157.5</v>
      </c>
      <c r="B509" s="501" t="s">
        <v>1130</v>
      </c>
      <c r="C509" s="429">
        <v>19</v>
      </c>
      <c r="D509" s="429">
        <v>157.5</v>
      </c>
      <c r="E509" s="431">
        <v>5.64</v>
      </c>
      <c r="F509" s="431">
        <v>6.35</v>
      </c>
      <c r="G509" s="431">
        <v>6.71</v>
      </c>
      <c r="H509" s="431">
        <v>6.13</v>
      </c>
      <c r="I509" s="431">
        <v>5.65</v>
      </c>
      <c r="J509" s="431">
        <v>5.45</v>
      </c>
      <c r="K509" s="431">
        <v>5.32</v>
      </c>
      <c r="L509" s="431">
        <v>5.01</v>
      </c>
      <c r="M509" s="431">
        <v>4.8499999999999996</v>
      </c>
      <c r="N509" s="431">
        <v>5.2</v>
      </c>
      <c r="O509" s="431">
        <v>5.54</v>
      </c>
      <c r="P509" s="431">
        <v>5.16</v>
      </c>
      <c r="Q509" s="179">
        <f t="shared" si="13"/>
        <v>5.5841666666666674</v>
      </c>
      <c r="R509" s="179" t="s">
        <v>993</v>
      </c>
    </row>
    <row r="510" spans="1:18" x14ac:dyDescent="0.15">
      <c r="A510" s="179" t="str">
        <f t="shared" si="12"/>
        <v>Colonia del Valle_Optimal Year Round_180</v>
      </c>
      <c r="B510" s="501" t="s">
        <v>1130</v>
      </c>
      <c r="C510" s="429">
        <v>19</v>
      </c>
      <c r="D510" s="429">
        <v>180</v>
      </c>
      <c r="E510" s="431">
        <v>5.78</v>
      </c>
      <c r="F510" s="431">
        <v>6.51</v>
      </c>
      <c r="G510" s="431">
        <v>6.88</v>
      </c>
      <c r="H510" s="431">
        <v>6.29</v>
      </c>
      <c r="I510" s="431">
        <v>5.79</v>
      </c>
      <c r="J510" s="431">
        <v>5.59</v>
      </c>
      <c r="K510" s="431">
        <v>5.46</v>
      </c>
      <c r="L510" s="431">
        <v>5.14</v>
      </c>
      <c r="M510" s="431">
        <v>4.97</v>
      </c>
      <c r="N510" s="431">
        <v>5.33</v>
      </c>
      <c r="O510" s="431">
        <v>5.68</v>
      </c>
      <c r="P510" s="431">
        <v>5.29</v>
      </c>
      <c r="Q510" s="179">
        <f t="shared" si="13"/>
        <v>5.7258333333333331</v>
      </c>
      <c r="R510" s="179" t="s">
        <v>993</v>
      </c>
    </row>
    <row r="511" spans="1:18" x14ac:dyDescent="0.15">
      <c r="A511" s="179" t="str">
        <f t="shared" si="12"/>
        <v>Colonia del Valle_Optimal Year Round_202.5</v>
      </c>
      <c r="B511" s="501" t="s">
        <v>1130</v>
      </c>
      <c r="C511" s="429">
        <v>19</v>
      </c>
      <c r="D511" s="429">
        <v>202.5</v>
      </c>
      <c r="E511" s="431">
        <v>5.64</v>
      </c>
      <c r="F511" s="431">
        <v>6.35</v>
      </c>
      <c r="G511" s="431">
        <v>6.71</v>
      </c>
      <c r="H511" s="431">
        <v>6.13</v>
      </c>
      <c r="I511" s="431">
        <v>5.65</v>
      </c>
      <c r="J511" s="431">
        <v>5.45</v>
      </c>
      <c r="K511" s="431">
        <v>5.32</v>
      </c>
      <c r="L511" s="431">
        <v>5.01</v>
      </c>
      <c r="M511" s="431">
        <v>4.8499999999999996</v>
      </c>
      <c r="N511" s="431">
        <v>5.2</v>
      </c>
      <c r="O511" s="431">
        <v>5.54</v>
      </c>
      <c r="P511" s="431">
        <v>5.16</v>
      </c>
      <c r="Q511" s="179">
        <f t="shared" si="13"/>
        <v>5.5841666666666674</v>
      </c>
      <c r="R511" s="179" t="s">
        <v>993</v>
      </c>
    </row>
    <row r="512" spans="1:18" x14ac:dyDescent="0.15">
      <c r="A512" s="179" t="str">
        <f t="shared" si="12"/>
        <v>Colonia del Valle_Optimal Year Round_225</v>
      </c>
      <c r="B512" s="501" t="s">
        <v>1130</v>
      </c>
      <c r="C512" s="429">
        <v>19</v>
      </c>
      <c r="D512" s="429">
        <v>225</v>
      </c>
      <c r="E512" s="431">
        <v>5.49</v>
      </c>
      <c r="F512" s="431">
        <v>6.18</v>
      </c>
      <c r="G512" s="431">
        <v>6.54</v>
      </c>
      <c r="H512" s="431">
        <v>5.98</v>
      </c>
      <c r="I512" s="431">
        <v>5.5</v>
      </c>
      <c r="J512" s="431">
        <v>5.31</v>
      </c>
      <c r="K512" s="431">
        <v>5.19</v>
      </c>
      <c r="L512" s="431">
        <v>4.88</v>
      </c>
      <c r="M512" s="431">
        <v>4.72</v>
      </c>
      <c r="N512" s="431">
        <v>5.0599999999999996</v>
      </c>
      <c r="O512" s="431">
        <v>5.4</v>
      </c>
      <c r="P512" s="431">
        <v>5.03</v>
      </c>
      <c r="Q512" s="179">
        <f t="shared" si="13"/>
        <v>5.44</v>
      </c>
      <c r="R512" s="179" t="s">
        <v>993</v>
      </c>
    </row>
    <row r="513" spans="1:18" x14ac:dyDescent="0.15">
      <c r="A513" s="179" t="str">
        <f t="shared" si="12"/>
        <v>Colonia del Valle_Optimal Year Round_247.5</v>
      </c>
      <c r="B513" s="501" t="s">
        <v>1130</v>
      </c>
      <c r="C513" s="429">
        <v>19</v>
      </c>
      <c r="D513" s="429">
        <v>247.5</v>
      </c>
      <c r="E513" s="431">
        <v>5.0599999999999996</v>
      </c>
      <c r="F513" s="431">
        <v>5.7</v>
      </c>
      <c r="G513" s="431">
        <v>6.02</v>
      </c>
      <c r="H513" s="431">
        <v>5.5</v>
      </c>
      <c r="I513" s="431">
        <v>5.07</v>
      </c>
      <c r="J513" s="431">
        <v>4.8899999999999997</v>
      </c>
      <c r="K513" s="431">
        <v>4.78</v>
      </c>
      <c r="L513" s="431">
        <v>4.5</v>
      </c>
      <c r="M513" s="431">
        <v>4.3499999999999996</v>
      </c>
      <c r="N513" s="431">
        <v>4.66</v>
      </c>
      <c r="O513" s="431">
        <v>4.97</v>
      </c>
      <c r="P513" s="431">
        <v>4.63</v>
      </c>
      <c r="Q513" s="179">
        <f t="shared" si="13"/>
        <v>5.0108333333333333</v>
      </c>
      <c r="R513" s="179" t="s">
        <v>993</v>
      </c>
    </row>
    <row r="514" spans="1:18" x14ac:dyDescent="0.15">
      <c r="A514" s="179" t="str">
        <f t="shared" ref="A514:A577" si="14">B514&amp;"_"&amp;R514&amp;"_"&amp;D514</f>
        <v>Colonia del Valle_Optimal Year Round_270</v>
      </c>
      <c r="B514" s="501" t="s">
        <v>1130</v>
      </c>
      <c r="C514" s="429">
        <v>19</v>
      </c>
      <c r="D514" s="429">
        <v>270</v>
      </c>
      <c r="E514" s="431">
        <v>4.62</v>
      </c>
      <c r="F514" s="431">
        <v>5.21</v>
      </c>
      <c r="G514" s="431">
        <v>5.5</v>
      </c>
      <c r="H514" s="431">
        <v>5.03</v>
      </c>
      <c r="I514" s="431">
        <v>4.63</v>
      </c>
      <c r="J514" s="431">
        <v>4.47</v>
      </c>
      <c r="K514" s="431">
        <v>4.37</v>
      </c>
      <c r="L514" s="431">
        <v>4.1100000000000003</v>
      </c>
      <c r="M514" s="431">
        <v>3.98</v>
      </c>
      <c r="N514" s="431">
        <v>4.26</v>
      </c>
      <c r="O514" s="431">
        <v>4.54</v>
      </c>
      <c r="P514" s="431">
        <v>4.2300000000000004</v>
      </c>
      <c r="Q514" s="179">
        <f t="shared" ref="Q514:Q577" si="15">AVERAGE(E514:P514)</f>
        <v>4.5791666666666657</v>
      </c>
      <c r="R514" s="179" t="s">
        <v>993</v>
      </c>
    </row>
    <row r="515" spans="1:18" x14ac:dyDescent="0.15">
      <c r="A515" s="179" t="str">
        <f t="shared" si="14"/>
        <v>Coyoacan_Flat Surface_90</v>
      </c>
      <c r="B515" s="501" t="s">
        <v>1131</v>
      </c>
      <c r="C515" s="429">
        <v>0</v>
      </c>
      <c r="D515" s="429">
        <v>90</v>
      </c>
      <c r="E515" s="431">
        <v>4.74</v>
      </c>
      <c r="F515" s="431">
        <v>5.68</v>
      </c>
      <c r="G515" s="431">
        <v>6.47</v>
      </c>
      <c r="H515" s="431">
        <v>6.38</v>
      </c>
      <c r="I515" s="431">
        <v>6.21</v>
      </c>
      <c r="J515" s="431">
        <v>5.57</v>
      </c>
      <c r="K515" s="431">
        <v>5.48</v>
      </c>
      <c r="L515" s="431">
        <v>5.31</v>
      </c>
      <c r="M515" s="431">
        <v>4.88</v>
      </c>
      <c r="N515" s="431">
        <v>4.87</v>
      </c>
      <c r="O515" s="431">
        <v>4.7699999999999996</v>
      </c>
      <c r="P515" s="431">
        <v>4.34</v>
      </c>
      <c r="Q515" s="179">
        <f t="shared" si="15"/>
        <v>5.3916666666666666</v>
      </c>
      <c r="R515" s="179" t="s">
        <v>994</v>
      </c>
    </row>
    <row r="516" spans="1:18" x14ac:dyDescent="0.15">
      <c r="A516" s="179" t="str">
        <f t="shared" si="14"/>
        <v>Coyoacan_Flat Surface_112.5</v>
      </c>
      <c r="B516" s="501" t="s">
        <v>1131</v>
      </c>
      <c r="C516" s="429">
        <v>0</v>
      </c>
      <c r="D516" s="429">
        <v>112.5</v>
      </c>
      <c r="E516" s="431">
        <v>4.74</v>
      </c>
      <c r="F516" s="431">
        <v>5.68</v>
      </c>
      <c r="G516" s="431">
        <v>6.47</v>
      </c>
      <c r="H516" s="431">
        <v>6.38</v>
      </c>
      <c r="I516" s="431">
        <v>6.21</v>
      </c>
      <c r="J516" s="431">
        <v>5.57</v>
      </c>
      <c r="K516" s="431">
        <v>5.48</v>
      </c>
      <c r="L516" s="431">
        <v>5.31</v>
      </c>
      <c r="M516" s="431">
        <v>4.88</v>
      </c>
      <c r="N516" s="431">
        <v>4.87</v>
      </c>
      <c r="O516" s="431">
        <v>4.7699999999999996</v>
      </c>
      <c r="P516" s="431">
        <v>4.34</v>
      </c>
      <c r="Q516" s="179">
        <f t="shared" si="15"/>
        <v>5.3916666666666666</v>
      </c>
      <c r="R516" s="179" t="s">
        <v>994</v>
      </c>
    </row>
    <row r="517" spans="1:18" x14ac:dyDescent="0.15">
      <c r="A517" s="179" t="str">
        <f t="shared" si="14"/>
        <v>Coyoacan_Flat Surface_135</v>
      </c>
      <c r="B517" s="501" t="s">
        <v>1131</v>
      </c>
      <c r="C517" s="429">
        <v>0</v>
      </c>
      <c r="D517" s="429">
        <v>135</v>
      </c>
      <c r="E517" s="431">
        <v>4.74</v>
      </c>
      <c r="F517" s="431">
        <v>5.68</v>
      </c>
      <c r="G517" s="431">
        <v>6.47</v>
      </c>
      <c r="H517" s="431">
        <v>6.38</v>
      </c>
      <c r="I517" s="431">
        <v>6.21</v>
      </c>
      <c r="J517" s="431">
        <v>5.57</v>
      </c>
      <c r="K517" s="431">
        <v>5.48</v>
      </c>
      <c r="L517" s="431">
        <v>5.31</v>
      </c>
      <c r="M517" s="431">
        <v>4.88</v>
      </c>
      <c r="N517" s="431">
        <v>4.87</v>
      </c>
      <c r="O517" s="431">
        <v>4.7699999999999996</v>
      </c>
      <c r="P517" s="431">
        <v>4.34</v>
      </c>
      <c r="Q517" s="179">
        <f t="shared" si="15"/>
        <v>5.3916666666666666</v>
      </c>
      <c r="R517" s="179" t="s">
        <v>994</v>
      </c>
    </row>
    <row r="518" spans="1:18" x14ac:dyDescent="0.15">
      <c r="A518" s="179" t="str">
        <f t="shared" si="14"/>
        <v>Coyoacan_Flat Surface_157.5</v>
      </c>
      <c r="B518" s="501" t="s">
        <v>1131</v>
      </c>
      <c r="C518" s="429">
        <v>0</v>
      </c>
      <c r="D518" s="429">
        <v>157.5</v>
      </c>
      <c r="E518" s="431">
        <v>4.74</v>
      </c>
      <c r="F518" s="431">
        <v>5.68</v>
      </c>
      <c r="G518" s="431">
        <v>6.47</v>
      </c>
      <c r="H518" s="431">
        <v>6.38</v>
      </c>
      <c r="I518" s="431">
        <v>6.21</v>
      </c>
      <c r="J518" s="431">
        <v>5.57</v>
      </c>
      <c r="K518" s="431">
        <v>5.48</v>
      </c>
      <c r="L518" s="431">
        <v>5.31</v>
      </c>
      <c r="M518" s="431">
        <v>4.88</v>
      </c>
      <c r="N518" s="431">
        <v>4.87</v>
      </c>
      <c r="O518" s="431">
        <v>4.7699999999999996</v>
      </c>
      <c r="P518" s="431">
        <v>4.34</v>
      </c>
      <c r="Q518" s="179">
        <f t="shared" si="15"/>
        <v>5.3916666666666666</v>
      </c>
      <c r="R518" s="179" t="s">
        <v>994</v>
      </c>
    </row>
    <row r="519" spans="1:18" x14ac:dyDescent="0.15">
      <c r="A519" s="179" t="str">
        <f t="shared" si="14"/>
        <v>Coyoacan_Flat Surface_180</v>
      </c>
      <c r="B519" s="501" t="s">
        <v>1131</v>
      </c>
      <c r="C519" s="429">
        <v>0</v>
      </c>
      <c r="D519" s="429">
        <v>180</v>
      </c>
      <c r="E519" s="431">
        <v>4.74</v>
      </c>
      <c r="F519" s="431">
        <v>5.68</v>
      </c>
      <c r="G519" s="431">
        <v>6.47</v>
      </c>
      <c r="H519" s="431">
        <v>6.38</v>
      </c>
      <c r="I519" s="431">
        <v>6.21</v>
      </c>
      <c r="J519" s="431">
        <v>5.57</v>
      </c>
      <c r="K519" s="431">
        <v>5.48</v>
      </c>
      <c r="L519" s="431">
        <v>5.31</v>
      </c>
      <c r="M519" s="431">
        <v>4.88</v>
      </c>
      <c r="N519" s="431">
        <v>4.87</v>
      </c>
      <c r="O519" s="431">
        <v>4.7699999999999996</v>
      </c>
      <c r="P519" s="431">
        <v>4.34</v>
      </c>
      <c r="Q519" s="179">
        <f t="shared" si="15"/>
        <v>5.3916666666666666</v>
      </c>
      <c r="R519" s="179" t="s">
        <v>994</v>
      </c>
    </row>
    <row r="520" spans="1:18" x14ac:dyDescent="0.15">
      <c r="A520" s="179" t="str">
        <f t="shared" si="14"/>
        <v>Coyoacan_Flat Surface_202.5</v>
      </c>
      <c r="B520" s="501" t="s">
        <v>1131</v>
      </c>
      <c r="C520" s="429">
        <v>0</v>
      </c>
      <c r="D520" s="429">
        <v>202.5</v>
      </c>
      <c r="E520" s="431">
        <v>4.74</v>
      </c>
      <c r="F520" s="431">
        <v>5.68</v>
      </c>
      <c r="G520" s="431">
        <v>6.47</v>
      </c>
      <c r="H520" s="431">
        <v>6.38</v>
      </c>
      <c r="I520" s="431">
        <v>6.21</v>
      </c>
      <c r="J520" s="431">
        <v>5.57</v>
      </c>
      <c r="K520" s="431">
        <v>5.48</v>
      </c>
      <c r="L520" s="431">
        <v>5.31</v>
      </c>
      <c r="M520" s="431">
        <v>4.88</v>
      </c>
      <c r="N520" s="431">
        <v>4.87</v>
      </c>
      <c r="O520" s="431">
        <v>4.7699999999999996</v>
      </c>
      <c r="P520" s="431">
        <v>4.34</v>
      </c>
      <c r="Q520" s="179">
        <f t="shared" si="15"/>
        <v>5.3916666666666666</v>
      </c>
      <c r="R520" s="179" t="s">
        <v>994</v>
      </c>
    </row>
    <row r="521" spans="1:18" x14ac:dyDescent="0.15">
      <c r="A521" s="179" t="str">
        <f t="shared" si="14"/>
        <v>Coyoacan_Flat Surface_225</v>
      </c>
      <c r="B521" s="501" t="s">
        <v>1131</v>
      </c>
      <c r="C521" s="429">
        <v>0</v>
      </c>
      <c r="D521" s="429">
        <v>225</v>
      </c>
      <c r="E521" s="431">
        <v>4.74</v>
      </c>
      <c r="F521" s="431">
        <v>5.68</v>
      </c>
      <c r="G521" s="431">
        <v>6.47</v>
      </c>
      <c r="H521" s="431">
        <v>6.38</v>
      </c>
      <c r="I521" s="431">
        <v>6.21</v>
      </c>
      <c r="J521" s="431">
        <v>5.57</v>
      </c>
      <c r="K521" s="431">
        <v>5.48</v>
      </c>
      <c r="L521" s="431">
        <v>5.31</v>
      </c>
      <c r="M521" s="431">
        <v>4.88</v>
      </c>
      <c r="N521" s="431">
        <v>4.87</v>
      </c>
      <c r="O521" s="431">
        <v>4.7699999999999996</v>
      </c>
      <c r="P521" s="431">
        <v>4.34</v>
      </c>
      <c r="Q521" s="179">
        <f t="shared" si="15"/>
        <v>5.3916666666666666</v>
      </c>
      <c r="R521" s="179" t="s">
        <v>994</v>
      </c>
    </row>
    <row r="522" spans="1:18" x14ac:dyDescent="0.15">
      <c r="A522" s="179" t="str">
        <f t="shared" si="14"/>
        <v>Coyoacan_Flat Surface_247.5</v>
      </c>
      <c r="B522" s="501" t="s">
        <v>1131</v>
      </c>
      <c r="C522" s="429">
        <v>0</v>
      </c>
      <c r="D522" s="429">
        <v>247.5</v>
      </c>
      <c r="E522" s="431">
        <v>4.74</v>
      </c>
      <c r="F522" s="431">
        <v>5.68</v>
      </c>
      <c r="G522" s="431">
        <v>6.47</v>
      </c>
      <c r="H522" s="431">
        <v>6.38</v>
      </c>
      <c r="I522" s="431">
        <v>6.21</v>
      </c>
      <c r="J522" s="431">
        <v>5.57</v>
      </c>
      <c r="K522" s="431">
        <v>5.48</v>
      </c>
      <c r="L522" s="431">
        <v>5.31</v>
      </c>
      <c r="M522" s="431">
        <v>4.88</v>
      </c>
      <c r="N522" s="431">
        <v>4.87</v>
      </c>
      <c r="O522" s="431">
        <v>4.7699999999999996</v>
      </c>
      <c r="P522" s="431">
        <v>4.34</v>
      </c>
      <c r="Q522" s="179">
        <f t="shared" si="15"/>
        <v>5.3916666666666666</v>
      </c>
      <c r="R522" s="179" t="s">
        <v>994</v>
      </c>
    </row>
    <row r="523" spans="1:18" x14ac:dyDescent="0.15">
      <c r="A523" s="179" t="str">
        <f t="shared" si="14"/>
        <v>Coyoacan_Flat Surface_270</v>
      </c>
      <c r="B523" s="501" t="s">
        <v>1131</v>
      </c>
      <c r="C523" s="429">
        <v>0</v>
      </c>
      <c r="D523" s="429">
        <v>270</v>
      </c>
      <c r="E523" s="431">
        <v>4.74</v>
      </c>
      <c r="F523" s="431">
        <v>5.68</v>
      </c>
      <c r="G523" s="431">
        <v>6.47</v>
      </c>
      <c r="H523" s="431">
        <v>6.38</v>
      </c>
      <c r="I523" s="431">
        <v>6.21</v>
      </c>
      <c r="J523" s="431">
        <v>5.57</v>
      </c>
      <c r="K523" s="431">
        <v>5.48</v>
      </c>
      <c r="L523" s="431">
        <v>5.31</v>
      </c>
      <c r="M523" s="431">
        <v>4.88</v>
      </c>
      <c r="N523" s="431">
        <v>4.87</v>
      </c>
      <c r="O523" s="431">
        <v>4.7699999999999996</v>
      </c>
      <c r="P523" s="431">
        <v>4.34</v>
      </c>
      <c r="Q523" s="179">
        <f t="shared" si="15"/>
        <v>5.3916666666666666</v>
      </c>
      <c r="R523" s="179" t="s">
        <v>994</v>
      </c>
    </row>
    <row r="524" spans="1:18" x14ac:dyDescent="0.15">
      <c r="A524" s="179" t="str">
        <f t="shared" si="14"/>
        <v>Coyoacan_Optimal Summer_90</v>
      </c>
      <c r="B524" s="501" t="s">
        <v>1131</v>
      </c>
      <c r="C524" s="429">
        <v>4</v>
      </c>
      <c r="D524" s="429">
        <v>90</v>
      </c>
      <c r="E524" s="431">
        <v>4</v>
      </c>
      <c r="F524" s="431">
        <v>4.72</v>
      </c>
      <c r="G524" s="431">
        <v>5.29</v>
      </c>
      <c r="H524" s="431">
        <v>5.13</v>
      </c>
      <c r="I524" s="431">
        <v>4.93</v>
      </c>
      <c r="J524" s="431">
        <v>4.49</v>
      </c>
      <c r="K524" s="431">
        <v>4.41</v>
      </c>
      <c r="L524" s="431">
        <v>4.25</v>
      </c>
      <c r="M524" s="431">
        <v>3.94</v>
      </c>
      <c r="N524" s="431">
        <v>4</v>
      </c>
      <c r="O524" s="431">
        <v>4</v>
      </c>
      <c r="P524" s="431">
        <v>3.66</v>
      </c>
      <c r="Q524" s="179">
        <f t="shared" si="15"/>
        <v>4.4016666666666664</v>
      </c>
      <c r="R524" s="179" t="s">
        <v>958</v>
      </c>
    </row>
    <row r="525" spans="1:18" x14ac:dyDescent="0.15">
      <c r="A525" s="179" t="str">
        <f t="shared" si="14"/>
        <v>Coyoacan_Optimal Summer_112.5</v>
      </c>
      <c r="B525" s="501" t="s">
        <v>1131</v>
      </c>
      <c r="C525" s="429">
        <v>4</v>
      </c>
      <c r="D525" s="429">
        <v>112.5</v>
      </c>
      <c r="E525" s="431">
        <v>4.38</v>
      </c>
      <c r="F525" s="431">
        <v>5.16</v>
      </c>
      <c r="G525" s="431">
        <v>5.78</v>
      </c>
      <c r="H525" s="431">
        <v>5.61</v>
      </c>
      <c r="I525" s="431">
        <v>5.39</v>
      </c>
      <c r="J525" s="431">
        <v>4.91</v>
      </c>
      <c r="K525" s="431">
        <v>4.82</v>
      </c>
      <c r="L525" s="431">
        <v>4.6500000000000004</v>
      </c>
      <c r="M525" s="431">
        <v>4.3099999999999996</v>
      </c>
      <c r="N525" s="431">
        <v>4.38</v>
      </c>
      <c r="O525" s="431">
        <v>4.38</v>
      </c>
      <c r="P525" s="431">
        <v>4</v>
      </c>
      <c r="Q525" s="179">
        <f t="shared" si="15"/>
        <v>4.8141666666666669</v>
      </c>
      <c r="R525" s="179" t="s">
        <v>958</v>
      </c>
    </row>
    <row r="526" spans="1:18" x14ac:dyDescent="0.15">
      <c r="A526" s="179" t="str">
        <f t="shared" si="14"/>
        <v>Coyoacan_Optimal Summer_135</v>
      </c>
      <c r="B526" s="501" t="s">
        <v>1131</v>
      </c>
      <c r="C526" s="429">
        <v>4</v>
      </c>
      <c r="D526" s="429">
        <v>135</v>
      </c>
      <c r="E526" s="431">
        <v>4.75</v>
      </c>
      <c r="F526" s="431">
        <v>5.6</v>
      </c>
      <c r="G526" s="431">
        <v>6.28</v>
      </c>
      <c r="H526" s="431">
        <v>6.09</v>
      </c>
      <c r="I526" s="431">
        <v>5.85</v>
      </c>
      <c r="J526" s="431">
        <v>5.33</v>
      </c>
      <c r="K526" s="431">
        <v>5.23</v>
      </c>
      <c r="L526" s="431">
        <v>5.04</v>
      </c>
      <c r="M526" s="431">
        <v>4.68</v>
      </c>
      <c r="N526" s="431">
        <v>4.75</v>
      </c>
      <c r="O526" s="431">
        <v>4.75</v>
      </c>
      <c r="P526" s="431">
        <v>4.34</v>
      </c>
      <c r="Q526" s="179">
        <f t="shared" si="15"/>
        <v>5.2241666666666662</v>
      </c>
      <c r="R526" s="179" t="s">
        <v>958</v>
      </c>
    </row>
    <row r="527" spans="1:18" x14ac:dyDescent="0.15">
      <c r="A527" s="179" t="str">
        <f t="shared" si="14"/>
        <v>Coyoacan_Optimal Summer_157.5</v>
      </c>
      <c r="B527" s="501" t="s">
        <v>1131</v>
      </c>
      <c r="C527" s="429">
        <v>4</v>
      </c>
      <c r="D527" s="429">
        <v>157.5</v>
      </c>
      <c r="E527" s="431">
        <v>4.88</v>
      </c>
      <c r="F527" s="431">
        <v>5.75</v>
      </c>
      <c r="G527" s="431">
        <v>6.44</v>
      </c>
      <c r="H527" s="431">
        <v>6.25</v>
      </c>
      <c r="I527" s="431">
        <v>6.01</v>
      </c>
      <c r="J527" s="431">
        <v>5.47</v>
      </c>
      <c r="K527" s="431">
        <v>5.37</v>
      </c>
      <c r="L527" s="431">
        <v>5.18</v>
      </c>
      <c r="M527" s="431">
        <v>4.8099999999999996</v>
      </c>
      <c r="N527" s="431">
        <v>4.88</v>
      </c>
      <c r="O527" s="431">
        <v>4.88</v>
      </c>
      <c r="P527" s="431">
        <v>4.46</v>
      </c>
      <c r="Q527" s="179">
        <f t="shared" si="15"/>
        <v>5.3649999999999993</v>
      </c>
      <c r="R527" s="179" t="s">
        <v>958</v>
      </c>
    </row>
    <row r="528" spans="1:18" x14ac:dyDescent="0.15">
      <c r="A528" s="179" t="str">
        <f t="shared" si="14"/>
        <v>Coyoacan_Optimal Summer_180</v>
      </c>
      <c r="B528" s="501" t="s">
        <v>1131</v>
      </c>
      <c r="C528" s="429">
        <v>4</v>
      </c>
      <c r="D528" s="429">
        <v>180</v>
      </c>
      <c r="E528" s="431">
        <v>5</v>
      </c>
      <c r="F528" s="431">
        <v>5.9</v>
      </c>
      <c r="G528" s="431">
        <v>6.61</v>
      </c>
      <c r="H528" s="431">
        <v>6.41</v>
      </c>
      <c r="I528" s="431">
        <v>6.16</v>
      </c>
      <c r="J528" s="431">
        <v>5.61</v>
      </c>
      <c r="K528" s="431">
        <v>5.51</v>
      </c>
      <c r="L528" s="431">
        <v>5.31</v>
      </c>
      <c r="M528" s="431">
        <v>4.93</v>
      </c>
      <c r="N528" s="431">
        <v>5</v>
      </c>
      <c r="O528" s="431">
        <v>5</v>
      </c>
      <c r="P528" s="431">
        <v>4.57</v>
      </c>
      <c r="Q528" s="179">
        <f t="shared" si="15"/>
        <v>5.5008333333333335</v>
      </c>
      <c r="R528" s="179" t="s">
        <v>958</v>
      </c>
    </row>
    <row r="529" spans="1:18" x14ac:dyDescent="0.15">
      <c r="A529" s="179" t="str">
        <f t="shared" si="14"/>
        <v>Coyoacan_Optimal Summer_202.5</v>
      </c>
      <c r="B529" s="501" t="s">
        <v>1131</v>
      </c>
      <c r="C529" s="429">
        <v>4</v>
      </c>
      <c r="D529" s="429">
        <v>202.5</v>
      </c>
      <c r="E529" s="431">
        <v>4.88</v>
      </c>
      <c r="F529" s="431">
        <v>5.75</v>
      </c>
      <c r="G529" s="431">
        <v>6.44</v>
      </c>
      <c r="H529" s="431">
        <v>6.25</v>
      </c>
      <c r="I529" s="431">
        <v>6.01</v>
      </c>
      <c r="J529" s="431">
        <v>5.47</v>
      </c>
      <c r="K529" s="431">
        <v>5.37</v>
      </c>
      <c r="L529" s="431">
        <v>5.18</v>
      </c>
      <c r="M529" s="431">
        <v>4.8099999999999996</v>
      </c>
      <c r="N529" s="431">
        <v>4.88</v>
      </c>
      <c r="O529" s="431">
        <v>4.88</v>
      </c>
      <c r="P529" s="431">
        <v>4.46</v>
      </c>
      <c r="Q529" s="179">
        <f t="shared" si="15"/>
        <v>5.3649999999999993</v>
      </c>
      <c r="R529" s="179" t="s">
        <v>958</v>
      </c>
    </row>
    <row r="530" spans="1:18" x14ac:dyDescent="0.15">
      <c r="A530" s="179" t="str">
        <f t="shared" si="14"/>
        <v>Coyoacan_Optimal Summer_225</v>
      </c>
      <c r="B530" s="501" t="s">
        <v>1131</v>
      </c>
      <c r="C530" s="429">
        <v>4</v>
      </c>
      <c r="D530" s="429">
        <v>225</v>
      </c>
      <c r="E530" s="431">
        <v>4.75</v>
      </c>
      <c r="F530" s="431">
        <v>5.6</v>
      </c>
      <c r="G530" s="431">
        <v>6.28</v>
      </c>
      <c r="H530" s="431">
        <v>6.09</v>
      </c>
      <c r="I530" s="431">
        <v>5.85</v>
      </c>
      <c r="J530" s="431">
        <v>5.33</v>
      </c>
      <c r="K530" s="431">
        <v>5.23</v>
      </c>
      <c r="L530" s="431">
        <v>5.04</v>
      </c>
      <c r="M530" s="431">
        <v>4.68</v>
      </c>
      <c r="N530" s="431">
        <v>4.75</v>
      </c>
      <c r="O530" s="431">
        <v>4.75</v>
      </c>
      <c r="P530" s="431">
        <v>4.34</v>
      </c>
      <c r="Q530" s="179">
        <f t="shared" si="15"/>
        <v>5.2241666666666662</v>
      </c>
      <c r="R530" s="179" t="s">
        <v>958</v>
      </c>
    </row>
    <row r="531" spans="1:18" x14ac:dyDescent="0.15">
      <c r="A531" s="179" t="str">
        <f t="shared" si="14"/>
        <v>Coyoacan_Optimal Summer_247.5</v>
      </c>
      <c r="B531" s="501" t="s">
        <v>1131</v>
      </c>
      <c r="C531" s="429">
        <v>4</v>
      </c>
      <c r="D531" s="429">
        <v>247.5</v>
      </c>
      <c r="E531" s="431">
        <v>4.38</v>
      </c>
      <c r="F531" s="431">
        <v>5.16</v>
      </c>
      <c r="G531" s="431">
        <v>5.78</v>
      </c>
      <c r="H531" s="431">
        <v>5.61</v>
      </c>
      <c r="I531" s="431">
        <v>5.39</v>
      </c>
      <c r="J531" s="431">
        <v>4.91</v>
      </c>
      <c r="K531" s="431">
        <v>4.82</v>
      </c>
      <c r="L531" s="431">
        <v>4.6500000000000004</v>
      </c>
      <c r="M531" s="431">
        <v>4.3099999999999996</v>
      </c>
      <c r="N531" s="431">
        <v>4.38</v>
      </c>
      <c r="O531" s="431">
        <v>4.38</v>
      </c>
      <c r="P531" s="431">
        <v>4</v>
      </c>
      <c r="Q531" s="179">
        <f t="shared" si="15"/>
        <v>4.8141666666666669</v>
      </c>
      <c r="R531" s="179" t="s">
        <v>958</v>
      </c>
    </row>
    <row r="532" spans="1:18" x14ac:dyDescent="0.15">
      <c r="A532" s="179" t="str">
        <f t="shared" si="14"/>
        <v>Coyoacan_Optimal Summer_270</v>
      </c>
      <c r="B532" s="501" t="s">
        <v>1131</v>
      </c>
      <c r="C532" s="429">
        <v>4</v>
      </c>
      <c r="D532" s="429">
        <v>270</v>
      </c>
      <c r="E532" s="431">
        <v>4</v>
      </c>
      <c r="F532" s="431">
        <v>4.72</v>
      </c>
      <c r="G532" s="431">
        <v>5.29</v>
      </c>
      <c r="H532" s="431">
        <v>5.13</v>
      </c>
      <c r="I532" s="431">
        <v>4.93</v>
      </c>
      <c r="J532" s="431">
        <v>4.49</v>
      </c>
      <c r="K532" s="431">
        <v>4.41</v>
      </c>
      <c r="L532" s="431">
        <v>4.25</v>
      </c>
      <c r="M532" s="431">
        <v>3.94</v>
      </c>
      <c r="N532" s="431">
        <v>4</v>
      </c>
      <c r="O532" s="431">
        <v>4</v>
      </c>
      <c r="P532" s="431">
        <v>3.66</v>
      </c>
      <c r="Q532" s="179">
        <f t="shared" si="15"/>
        <v>4.4016666666666664</v>
      </c>
      <c r="R532" s="179" t="s">
        <v>958</v>
      </c>
    </row>
    <row r="533" spans="1:18" x14ac:dyDescent="0.15">
      <c r="A533" s="179" t="str">
        <f t="shared" si="14"/>
        <v>Coyoacan_Optimal Year Round_90</v>
      </c>
      <c r="B533" s="501" t="s">
        <v>1131</v>
      </c>
      <c r="C533" s="429">
        <v>19</v>
      </c>
      <c r="D533" s="429">
        <v>90</v>
      </c>
      <c r="E533" s="431">
        <v>4.62</v>
      </c>
      <c r="F533" s="431">
        <v>5.21</v>
      </c>
      <c r="G533" s="431">
        <v>5.5</v>
      </c>
      <c r="H533" s="431">
        <v>5.03</v>
      </c>
      <c r="I533" s="431">
        <v>4.62</v>
      </c>
      <c r="J533" s="431">
        <v>4.47</v>
      </c>
      <c r="K533" s="431">
        <v>4.37</v>
      </c>
      <c r="L533" s="431">
        <v>4.0999999999999996</v>
      </c>
      <c r="M533" s="431">
        <v>3.97</v>
      </c>
      <c r="N533" s="431">
        <v>4.26</v>
      </c>
      <c r="O533" s="431">
        <v>4.54</v>
      </c>
      <c r="P533" s="431">
        <v>4.22</v>
      </c>
      <c r="Q533" s="179">
        <f t="shared" si="15"/>
        <v>4.5758333333333328</v>
      </c>
      <c r="R533" s="179" t="s">
        <v>993</v>
      </c>
    </row>
    <row r="534" spans="1:18" x14ac:dyDescent="0.15">
      <c r="A534" s="179" t="str">
        <f t="shared" si="14"/>
        <v>Coyoacan_Optimal Year Round_112.5</v>
      </c>
      <c r="B534" s="501" t="s">
        <v>1131</v>
      </c>
      <c r="C534" s="429">
        <v>19</v>
      </c>
      <c r="D534" s="429">
        <v>112.5</v>
      </c>
      <c r="E534" s="431">
        <v>5.05</v>
      </c>
      <c r="F534" s="431">
        <v>5.7</v>
      </c>
      <c r="G534" s="431">
        <v>6.01</v>
      </c>
      <c r="H534" s="431">
        <v>5.5</v>
      </c>
      <c r="I534" s="431">
        <v>5.0599999999999996</v>
      </c>
      <c r="J534" s="431">
        <v>4.8899999999999997</v>
      </c>
      <c r="K534" s="431">
        <v>4.78</v>
      </c>
      <c r="L534" s="431">
        <v>4.49</v>
      </c>
      <c r="M534" s="431">
        <v>4.34</v>
      </c>
      <c r="N534" s="431">
        <v>4.66</v>
      </c>
      <c r="O534" s="431">
        <v>4.97</v>
      </c>
      <c r="P534" s="431">
        <v>4.62</v>
      </c>
      <c r="Q534" s="179">
        <f t="shared" si="15"/>
        <v>5.0058333333333325</v>
      </c>
      <c r="R534" s="179" t="s">
        <v>993</v>
      </c>
    </row>
    <row r="535" spans="1:18" x14ac:dyDescent="0.15">
      <c r="A535" s="179" t="str">
        <f t="shared" si="14"/>
        <v>Coyoacan_Optimal Year Round_135</v>
      </c>
      <c r="B535" s="501" t="s">
        <v>1131</v>
      </c>
      <c r="C535" s="429">
        <v>19</v>
      </c>
      <c r="D535" s="429">
        <v>135</v>
      </c>
      <c r="E535" s="431">
        <v>5.48</v>
      </c>
      <c r="F535" s="431">
        <v>6.18</v>
      </c>
      <c r="G535" s="431">
        <v>6.53</v>
      </c>
      <c r="H535" s="431">
        <v>5.98</v>
      </c>
      <c r="I535" s="431">
        <v>5.49</v>
      </c>
      <c r="J535" s="431">
        <v>5.31</v>
      </c>
      <c r="K535" s="431">
        <v>5.19</v>
      </c>
      <c r="L535" s="431">
        <v>4.87</v>
      </c>
      <c r="M535" s="431">
        <v>4.71</v>
      </c>
      <c r="N535" s="431">
        <v>5.0599999999999996</v>
      </c>
      <c r="O535" s="431">
        <v>5.4</v>
      </c>
      <c r="P535" s="431">
        <v>5.0199999999999996</v>
      </c>
      <c r="Q535" s="179">
        <f t="shared" si="15"/>
        <v>5.4349999999999996</v>
      </c>
      <c r="R535" s="179" t="s">
        <v>993</v>
      </c>
    </row>
    <row r="536" spans="1:18" x14ac:dyDescent="0.15">
      <c r="A536" s="179" t="str">
        <f t="shared" si="14"/>
        <v>Coyoacan_Optimal Year Round_157.5</v>
      </c>
      <c r="B536" s="501" t="s">
        <v>1131</v>
      </c>
      <c r="C536" s="429">
        <v>19</v>
      </c>
      <c r="D536" s="429">
        <v>157.5</v>
      </c>
      <c r="E536" s="431">
        <v>5.63</v>
      </c>
      <c r="F536" s="431">
        <v>6.35</v>
      </c>
      <c r="G536" s="431">
        <v>6.7</v>
      </c>
      <c r="H536" s="431">
        <v>6.13</v>
      </c>
      <c r="I536" s="431">
        <v>5.64</v>
      </c>
      <c r="J536" s="431">
        <v>5.45</v>
      </c>
      <c r="K536" s="431">
        <v>5.32</v>
      </c>
      <c r="L536" s="431">
        <v>5</v>
      </c>
      <c r="M536" s="431">
        <v>4.84</v>
      </c>
      <c r="N536" s="431">
        <v>5.2</v>
      </c>
      <c r="O536" s="431">
        <v>5.54</v>
      </c>
      <c r="P536" s="431">
        <v>5.15</v>
      </c>
      <c r="Q536" s="179">
        <f t="shared" si="15"/>
        <v>5.5791666666666666</v>
      </c>
      <c r="R536" s="179" t="s">
        <v>993</v>
      </c>
    </row>
    <row r="537" spans="1:18" x14ac:dyDescent="0.15">
      <c r="A537" s="179" t="str">
        <f t="shared" si="14"/>
        <v>Coyoacan_Optimal Year Round_180</v>
      </c>
      <c r="B537" s="501" t="s">
        <v>1131</v>
      </c>
      <c r="C537" s="429">
        <v>19</v>
      </c>
      <c r="D537" s="429">
        <v>180</v>
      </c>
      <c r="E537" s="431">
        <v>5.77</v>
      </c>
      <c r="F537" s="431">
        <v>6.51</v>
      </c>
      <c r="G537" s="431">
        <v>6.87</v>
      </c>
      <c r="H537" s="431">
        <v>6.29</v>
      </c>
      <c r="I537" s="431">
        <v>5.78</v>
      </c>
      <c r="J537" s="431">
        <v>5.59</v>
      </c>
      <c r="K537" s="431">
        <v>5.46</v>
      </c>
      <c r="L537" s="431">
        <v>5.13</v>
      </c>
      <c r="M537" s="431">
        <v>4.96</v>
      </c>
      <c r="N537" s="431">
        <v>5.33</v>
      </c>
      <c r="O537" s="431">
        <v>5.68</v>
      </c>
      <c r="P537" s="431">
        <v>5.28</v>
      </c>
      <c r="Q537" s="179">
        <f t="shared" si="15"/>
        <v>5.7208333333333341</v>
      </c>
      <c r="R537" s="179" t="s">
        <v>993</v>
      </c>
    </row>
    <row r="538" spans="1:18" x14ac:dyDescent="0.15">
      <c r="A538" s="179" t="str">
        <f t="shared" si="14"/>
        <v>Coyoacan_Optimal Year Round_202.5</v>
      </c>
      <c r="B538" s="501" t="s">
        <v>1131</v>
      </c>
      <c r="C538" s="429">
        <v>19</v>
      </c>
      <c r="D538" s="429">
        <v>202.5</v>
      </c>
      <c r="E538" s="431">
        <v>5.63</v>
      </c>
      <c r="F538" s="431">
        <v>6.35</v>
      </c>
      <c r="G538" s="431">
        <v>6.7</v>
      </c>
      <c r="H538" s="431">
        <v>6.13</v>
      </c>
      <c r="I538" s="431">
        <v>5.64</v>
      </c>
      <c r="J538" s="431">
        <v>5.45</v>
      </c>
      <c r="K538" s="431">
        <v>5.32</v>
      </c>
      <c r="L538" s="431">
        <v>5</v>
      </c>
      <c r="M538" s="431">
        <v>4.84</v>
      </c>
      <c r="N538" s="431">
        <v>5.2</v>
      </c>
      <c r="O538" s="431">
        <v>5.54</v>
      </c>
      <c r="P538" s="431">
        <v>5.15</v>
      </c>
      <c r="Q538" s="179">
        <f t="shared" si="15"/>
        <v>5.5791666666666666</v>
      </c>
      <c r="R538" s="179" t="s">
        <v>993</v>
      </c>
    </row>
    <row r="539" spans="1:18" x14ac:dyDescent="0.15">
      <c r="A539" s="179" t="str">
        <f t="shared" si="14"/>
        <v>Coyoacan_Optimal Year Round_225</v>
      </c>
      <c r="B539" s="501" t="s">
        <v>1131</v>
      </c>
      <c r="C539" s="429">
        <v>19</v>
      </c>
      <c r="D539" s="429">
        <v>225</v>
      </c>
      <c r="E539" s="431">
        <v>5.48</v>
      </c>
      <c r="F539" s="431">
        <v>6.18</v>
      </c>
      <c r="G539" s="431">
        <v>6.53</v>
      </c>
      <c r="H539" s="431">
        <v>5.98</v>
      </c>
      <c r="I539" s="431">
        <v>5.49</v>
      </c>
      <c r="J539" s="431">
        <v>5.31</v>
      </c>
      <c r="K539" s="431">
        <v>5.19</v>
      </c>
      <c r="L539" s="431">
        <v>4.87</v>
      </c>
      <c r="M539" s="431">
        <v>4.71</v>
      </c>
      <c r="N539" s="431">
        <v>5.0599999999999996</v>
      </c>
      <c r="O539" s="431">
        <v>5.4</v>
      </c>
      <c r="P539" s="431">
        <v>5.0199999999999996</v>
      </c>
      <c r="Q539" s="179">
        <f t="shared" si="15"/>
        <v>5.4349999999999996</v>
      </c>
      <c r="R539" s="179" t="s">
        <v>993</v>
      </c>
    </row>
    <row r="540" spans="1:18" x14ac:dyDescent="0.15">
      <c r="A540" s="179" t="str">
        <f t="shared" si="14"/>
        <v>Coyoacan_Optimal Year Round_247.5</v>
      </c>
      <c r="B540" s="501" t="s">
        <v>1131</v>
      </c>
      <c r="C540" s="429">
        <v>19</v>
      </c>
      <c r="D540" s="429">
        <v>247.5</v>
      </c>
      <c r="E540" s="431">
        <v>5.05</v>
      </c>
      <c r="F540" s="431">
        <v>5.7</v>
      </c>
      <c r="G540" s="431">
        <v>6.01</v>
      </c>
      <c r="H540" s="431">
        <v>5.5</v>
      </c>
      <c r="I540" s="431">
        <v>5.0599999999999996</v>
      </c>
      <c r="J540" s="431">
        <v>4.8899999999999997</v>
      </c>
      <c r="K540" s="431">
        <v>4.78</v>
      </c>
      <c r="L540" s="431">
        <v>4.49</v>
      </c>
      <c r="M540" s="431">
        <v>4.34</v>
      </c>
      <c r="N540" s="431">
        <v>4.66</v>
      </c>
      <c r="O540" s="431">
        <v>4.97</v>
      </c>
      <c r="P540" s="431">
        <v>4.62</v>
      </c>
      <c r="Q540" s="179">
        <f t="shared" si="15"/>
        <v>5.0058333333333325</v>
      </c>
      <c r="R540" s="179" t="s">
        <v>993</v>
      </c>
    </row>
    <row r="541" spans="1:18" x14ac:dyDescent="0.15">
      <c r="A541" s="179" t="str">
        <f t="shared" si="14"/>
        <v>Coyoacan_Optimal Year Round_270</v>
      </c>
      <c r="B541" s="501" t="s">
        <v>1131</v>
      </c>
      <c r="C541" s="429">
        <v>19</v>
      </c>
      <c r="D541" s="429">
        <v>270</v>
      </c>
      <c r="E541" s="431">
        <v>4.62</v>
      </c>
      <c r="F541" s="431">
        <v>5.21</v>
      </c>
      <c r="G541" s="431">
        <v>5.5</v>
      </c>
      <c r="H541" s="431">
        <v>5.03</v>
      </c>
      <c r="I541" s="431">
        <v>4.62</v>
      </c>
      <c r="J541" s="431">
        <v>4.47</v>
      </c>
      <c r="K541" s="431">
        <v>4.37</v>
      </c>
      <c r="L541" s="431">
        <v>4.0999999999999996</v>
      </c>
      <c r="M541" s="431">
        <v>3.97</v>
      </c>
      <c r="N541" s="431">
        <v>4.26</v>
      </c>
      <c r="O541" s="431">
        <v>4.54</v>
      </c>
      <c r="P541" s="431">
        <v>4.22</v>
      </c>
      <c r="Q541" s="179">
        <f t="shared" si="15"/>
        <v>4.5758333333333328</v>
      </c>
      <c r="R541" s="179" t="s">
        <v>993</v>
      </c>
    </row>
    <row r="542" spans="1:18" x14ac:dyDescent="0.15">
      <c r="A542" s="179" t="str">
        <f t="shared" si="14"/>
        <v>Cuauhtemoc_Flat Surface_90</v>
      </c>
      <c r="B542" s="501" t="s">
        <v>1132</v>
      </c>
      <c r="C542" s="429">
        <v>0</v>
      </c>
      <c r="D542" s="429">
        <v>90</v>
      </c>
      <c r="E542" s="431">
        <v>4.74</v>
      </c>
      <c r="F542" s="431">
        <v>5.68</v>
      </c>
      <c r="G542" s="431">
        <v>6.47</v>
      </c>
      <c r="H542" s="431">
        <v>6.38</v>
      </c>
      <c r="I542" s="431">
        <v>6.21</v>
      </c>
      <c r="J542" s="431">
        <v>5.57</v>
      </c>
      <c r="K542" s="431">
        <v>5.48</v>
      </c>
      <c r="L542" s="431">
        <v>5.31</v>
      </c>
      <c r="M542" s="431">
        <v>4.88</v>
      </c>
      <c r="N542" s="431">
        <v>4.87</v>
      </c>
      <c r="O542" s="431">
        <v>4.7699999999999996</v>
      </c>
      <c r="P542" s="431">
        <v>4.34</v>
      </c>
      <c r="Q542" s="179">
        <f t="shared" si="15"/>
        <v>5.3916666666666666</v>
      </c>
      <c r="R542" s="179" t="s">
        <v>994</v>
      </c>
    </row>
    <row r="543" spans="1:18" x14ac:dyDescent="0.15">
      <c r="A543" s="179" t="str">
        <f t="shared" si="14"/>
        <v>Cuauhtemoc_Flat Surface_112.5</v>
      </c>
      <c r="B543" s="501" t="s">
        <v>1132</v>
      </c>
      <c r="C543" s="429">
        <v>0</v>
      </c>
      <c r="D543" s="429">
        <v>112.5</v>
      </c>
      <c r="E543" s="431">
        <v>4.74</v>
      </c>
      <c r="F543" s="431">
        <v>5.68</v>
      </c>
      <c r="G543" s="431">
        <v>6.47</v>
      </c>
      <c r="H543" s="431">
        <v>6.38</v>
      </c>
      <c r="I543" s="431">
        <v>6.21</v>
      </c>
      <c r="J543" s="431">
        <v>5.57</v>
      </c>
      <c r="K543" s="431">
        <v>5.48</v>
      </c>
      <c r="L543" s="431">
        <v>5.31</v>
      </c>
      <c r="M543" s="431">
        <v>4.88</v>
      </c>
      <c r="N543" s="431">
        <v>4.87</v>
      </c>
      <c r="O543" s="431">
        <v>4.7699999999999996</v>
      </c>
      <c r="P543" s="431">
        <v>4.34</v>
      </c>
      <c r="Q543" s="179">
        <f t="shared" si="15"/>
        <v>5.3916666666666666</v>
      </c>
      <c r="R543" s="179" t="s">
        <v>994</v>
      </c>
    </row>
    <row r="544" spans="1:18" x14ac:dyDescent="0.15">
      <c r="A544" s="179" t="str">
        <f t="shared" si="14"/>
        <v>Cuauhtemoc_Flat Surface_135</v>
      </c>
      <c r="B544" s="501" t="s">
        <v>1132</v>
      </c>
      <c r="C544" s="429">
        <v>0</v>
      </c>
      <c r="D544" s="429">
        <v>135</v>
      </c>
      <c r="E544" s="431">
        <v>4.74</v>
      </c>
      <c r="F544" s="431">
        <v>5.68</v>
      </c>
      <c r="G544" s="431">
        <v>6.47</v>
      </c>
      <c r="H544" s="431">
        <v>6.38</v>
      </c>
      <c r="I544" s="431">
        <v>6.21</v>
      </c>
      <c r="J544" s="431">
        <v>5.57</v>
      </c>
      <c r="K544" s="431">
        <v>5.48</v>
      </c>
      <c r="L544" s="431">
        <v>5.31</v>
      </c>
      <c r="M544" s="431">
        <v>4.88</v>
      </c>
      <c r="N544" s="431">
        <v>4.87</v>
      </c>
      <c r="O544" s="431">
        <v>4.7699999999999996</v>
      </c>
      <c r="P544" s="431">
        <v>4.34</v>
      </c>
      <c r="Q544" s="179">
        <f t="shared" si="15"/>
        <v>5.3916666666666666</v>
      </c>
      <c r="R544" s="179" t="s">
        <v>994</v>
      </c>
    </row>
    <row r="545" spans="1:18" x14ac:dyDescent="0.15">
      <c r="A545" s="179" t="str">
        <f t="shared" si="14"/>
        <v>Cuauhtemoc_Flat Surface_157.5</v>
      </c>
      <c r="B545" s="501" t="s">
        <v>1132</v>
      </c>
      <c r="C545" s="429">
        <v>0</v>
      </c>
      <c r="D545" s="429">
        <v>157.5</v>
      </c>
      <c r="E545" s="431">
        <v>4.74</v>
      </c>
      <c r="F545" s="431">
        <v>5.68</v>
      </c>
      <c r="G545" s="431">
        <v>6.47</v>
      </c>
      <c r="H545" s="431">
        <v>6.38</v>
      </c>
      <c r="I545" s="431">
        <v>6.21</v>
      </c>
      <c r="J545" s="431">
        <v>5.57</v>
      </c>
      <c r="K545" s="431">
        <v>5.48</v>
      </c>
      <c r="L545" s="431">
        <v>5.31</v>
      </c>
      <c r="M545" s="431">
        <v>4.88</v>
      </c>
      <c r="N545" s="431">
        <v>4.87</v>
      </c>
      <c r="O545" s="431">
        <v>4.7699999999999996</v>
      </c>
      <c r="P545" s="431">
        <v>4.34</v>
      </c>
      <c r="Q545" s="179">
        <f t="shared" si="15"/>
        <v>5.3916666666666666</v>
      </c>
      <c r="R545" s="179" t="s">
        <v>994</v>
      </c>
    </row>
    <row r="546" spans="1:18" x14ac:dyDescent="0.15">
      <c r="A546" s="179" t="str">
        <f t="shared" si="14"/>
        <v>Cuauhtemoc_Flat Surface_180</v>
      </c>
      <c r="B546" s="501" t="s">
        <v>1132</v>
      </c>
      <c r="C546" s="429">
        <v>0</v>
      </c>
      <c r="D546" s="429">
        <v>180</v>
      </c>
      <c r="E546" s="431">
        <v>4.74</v>
      </c>
      <c r="F546" s="431">
        <v>5.68</v>
      </c>
      <c r="G546" s="431">
        <v>6.47</v>
      </c>
      <c r="H546" s="431">
        <v>6.38</v>
      </c>
      <c r="I546" s="431">
        <v>6.21</v>
      </c>
      <c r="J546" s="431">
        <v>5.57</v>
      </c>
      <c r="K546" s="431">
        <v>5.48</v>
      </c>
      <c r="L546" s="431">
        <v>5.31</v>
      </c>
      <c r="M546" s="431">
        <v>4.88</v>
      </c>
      <c r="N546" s="431">
        <v>4.87</v>
      </c>
      <c r="O546" s="431">
        <v>4.7699999999999996</v>
      </c>
      <c r="P546" s="431">
        <v>4.34</v>
      </c>
      <c r="Q546" s="179">
        <f t="shared" si="15"/>
        <v>5.3916666666666666</v>
      </c>
      <c r="R546" s="179" t="s">
        <v>994</v>
      </c>
    </row>
    <row r="547" spans="1:18" x14ac:dyDescent="0.15">
      <c r="A547" s="179" t="str">
        <f t="shared" si="14"/>
        <v>Cuauhtemoc_Flat Surface_202.5</v>
      </c>
      <c r="B547" s="501" t="s">
        <v>1132</v>
      </c>
      <c r="C547" s="429">
        <v>0</v>
      </c>
      <c r="D547" s="429">
        <v>202.5</v>
      </c>
      <c r="E547" s="431">
        <v>4.74</v>
      </c>
      <c r="F547" s="431">
        <v>5.68</v>
      </c>
      <c r="G547" s="431">
        <v>6.47</v>
      </c>
      <c r="H547" s="431">
        <v>6.38</v>
      </c>
      <c r="I547" s="431">
        <v>6.21</v>
      </c>
      <c r="J547" s="431">
        <v>5.57</v>
      </c>
      <c r="K547" s="431">
        <v>5.48</v>
      </c>
      <c r="L547" s="431">
        <v>5.31</v>
      </c>
      <c r="M547" s="431">
        <v>4.88</v>
      </c>
      <c r="N547" s="431">
        <v>4.87</v>
      </c>
      <c r="O547" s="431">
        <v>4.7699999999999996</v>
      </c>
      <c r="P547" s="431">
        <v>4.34</v>
      </c>
      <c r="Q547" s="179">
        <f t="shared" si="15"/>
        <v>5.3916666666666666</v>
      </c>
      <c r="R547" s="179" t="s">
        <v>994</v>
      </c>
    </row>
    <row r="548" spans="1:18" x14ac:dyDescent="0.15">
      <c r="A548" s="179" t="str">
        <f t="shared" si="14"/>
        <v>Cuauhtemoc_Flat Surface_225</v>
      </c>
      <c r="B548" s="501" t="s">
        <v>1132</v>
      </c>
      <c r="C548" s="429">
        <v>0</v>
      </c>
      <c r="D548" s="429">
        <v>225</v>
      </c>
      <c r="E548" s="431">
        <v>4.74</v>
      </c>
      <c r="F548" s="431">
        <v>5.68</v>
      </c>
      <c r="G548" s="431">
        <v>6.47</v>
      </c>
      <c r="H548" s="431">
        <v>6.38</v>
      </c>
      <c r="I548" s="431">
        <v>6.21</v>
      </c>
      <c r="J548" s="431">
        <v>5.57</v>
      </c>
      <c r="K548" s="431">
        <v>5.48</v>
      </c>
      <c r="L548" s="431">
        <v>5.31</v>
      </c>
      <c r="M548" s="431">
        <v>4.88</v>
      </c>
      <c r="N548" s="431">
        <v>4.87</v>
      </c>
      <c r="O548" s="431">
        <v>4.7699999999999996</v>
      </c>
      <c r="P548" s="431">
        <v>4.34</v>
      </c>
      <c r="Q548" s="179">
        <f t="shared" si="15"/>
        <v>5.3916666666666666</v>
      </c>
      <c r="R548" s="179" t="s">
        <v>994</v>
      </c>
    </row>
    <row r="549" spans="1:18" x14ac:dyDescent="0.15">
      <c r="A549" s="179" t="str">
        <f t="shared" si="14"/>
        <v>Cuauhtemoc_Flat Surface_247.5</v>
      </c>
      <c r="B549" s="501" t="s">
        <v>1132</v>
      </c>
      <c r="C549" s="429">
        <v>0</v>
      </c>
      <c r="D549" s="429">
        <v>247.5</v>
      </c>
      <c r="E549" s="431">
        <v>4.74</v>
      </c>
      <c r="F549" s="431">
        <v>5.68</v>
      </c>
      <c r="G549" s="431">
        <v>6.47</v>
      </c>
      <c r="H549" s="431">
        <v>6.38</v>
      </c>
      <c r="I549" s="431">
        <v>6.21</v>
      </c>
      <c r="J549" s="431">
        <v>5.57</v>
      </c>
      <c r="K549" s="431">
        <v>5.48</v>
      </c>
      <c r="L549" s="431">
        <v>5.31</v>
      </c>
      <c r="M549" s="431">
        <v>4.88</v>
      </c>
      <c r="N549" s="431">
        <v>4.87</v>
      </c>
      <c r="O549" s="431">
        <v>4.7699999999999996</v>
      </c>
      <c r="P549" s="431">
        <v>4.34</v>
      </c>
      <c r="Q549" s="179">
        <f t="shared" si="15"/>
        <v>5.3916666666666666</v>
      </c>
      <c r="R549" s="179" t="s">
        <v>994</v>
      </c>
    </row>
    <row r="550" spans="1:18" x14ac:dyDescent="0.15">
      <c r="A550" s="179" t="str">
        <f t="shared" si="14"/>
        <v>Cuauhtemoc_Flat Surface_270</v>
      </c>
      <c r="B550" s="501" t="s">
        <v>1132</v>
      </c>
      <c r="C550" s="429">
        <v>0</v>
      </c>
      <c r="D550" s="429">
        <v>270</v>
      </c>
      <c r="E550" s="431">
        <v>4.74</v>
      </c>
      <c r="F550" s="431">
        <v>5.68</v>
      </c>
      <c r="G550" s="431">
        <v>6.47</v>
      </c>
      <c r="H550" s="431">
        <v>6.38</v>
      </c>
      <c r="I550" s="431">
        <v>6.21</v>
      </c>
      <c r="J550" s="431">
        <v>5.57</v>
      </c>
      <c r="K550" s="431">
        <v>5.48</v>
      </c>
      <c r="L550" s="431">
        <v>5.31</v>
      </c>
      <c r="M550" s="431">
        <v>4.88</v>
      </c>
      <c r="N550" s="431">
        <v>4.87</v>
      </c>
      <c r="O550" s="431">
        <v>4.7699999999999996</v>
      </c>
      <c r="P550" s="431">
        <v>4.34</v>
      </c>
      <c r="Q550" s="179">
        <f t="shared" si="15"/>
        <v>5.3916666666666666</v>
      </c>
      <c r="R550" s="179" t="s">
        <v>994</v>
      </c>
    </row>
    <row r="551" spans="1:18" x14ac:dyDescent="0.15">
      <c r="A551" s="179" t="str">
        <f t="shared" si="14"/>
        <v>Cuauhtemoc_Optimal Summer_90</v>
      </c>
      <c r="B551" s="501" t="s">
        <v>1132</v>
      </c>
      <c r="C551" s="429">
        <v>4</v>
      </c>
      <c r="D551" s="429">
        <v>90</v>
      </c>
      <c r="E551" s="431">
        <v>4</v>
      </c>
      <c r="F551" s="431">
        <v>4.72</v>
      </c>
      <c r="G551" s="431">
        <v>5.29</v>
      </c>
      <c r="H551" s="431">
        <v>5.13</v>
      </c>
      <c r="I551" s="431">
        <v>4.93</v>
      </c>
      <c r="J551" s="431">
        <v>4.49</v>
      </c>
      <c r="K551" s="431">
        <v>4.41</v>
      </c>
      <c r="L551" s="431">
        <v>4.25</v>
      </c>
      <c r="M551" s="431">
        <v>3.94</v>
      </c>
      <c r="N551" s="431">
        <v>4</v>
      </c>
      <c r="O551" s="431">
        <v>4</v>
      </c>
      <c r="P551" s="431">
        <v>3.66</v>
      </c>
      <c r="Q551" s="179">
        <f t="shared" si="15"/>
        <v>4.4016666666666664</v>
      </c>
      <c r="R551" s="179" t="s">
        <v>958</v>
      </c>
    </row>
    <row r="552" spans="1:18" x14ac:dyDescent="0.15">
      <c r="A552" s="179" t="str">
        <f t="shared" si="14"/>
        <v>Cuauhtemoc_Optimal Summer_112.5</v>
      </c>
      <c r="B552" s="501" t="s">
        <v>1132</v>
      </c>
      <c r="C552" s="429">
        <v>4</v>
      </c>
      <c r="D552" s="429">
        <v>112.5</v>
      </c>
      <c r="E552" s="431">
        <v>4.38</v>
      </c>
      <c r="F552" s="431">
        <v>5.16</v>
      </c>
      <c r="G552" s="431">
        <v>5.78</v>
      </c>
      <c r="H552" s="431">
        <v>5.61</v>
      </c>
      <c r="I552" s="431">
        <v>5.39</v>
      </c>
      <c r="J552" s="431">
        <v>4.91</v>
      </c>
      <c r="K552" s="431">
        <v>4.82</v>
      </c>
      <c r="L552" s="431">
        <v>4.6500000000000004</v>
      </c>
      <c r="M552" s="431">
        <v>4.3099999999999996</v>
      </c>
      <c r="N552" s="431">
        <v>4.38</v>
      </c>
      <c r="O552" s="431">
        <v>4.38</v>
      </c>
      <c r="P552" s="431">
        <v>4</v>
      </c>
      <c r="Q552" s="179">
        <f t="shared" si="15"/>
        <v>4.8141666666666669</v>
      </c>
      <c r="R552" s="179" t="s">
        <v>958</v>
      </c>
    </row>
    <row r="553" spans="1:18" x14ac:dyDescent="0.15">
      <c r="A553" s="179" t="str">
        <f t="shared" si="14"/>
        <v>Cuauhtemoc_Optimal Summer_135</v>
      </c>
      <c r="B553" s="501" t="s">
        <v>1132</v>
      </c>
      <c r="C553" s="429">
        <v>4</v>
      </c>
      <c r="D553" s="429">
        <v>135</v>
      </c>
      <c r="E553" s="431">
        <v>4.75</v>
      </c>
      <c r="F553" s="431">
        <v>5.6</v>
      </c>
      <c r="G553" s="431">
        <v>6.28</v>
      </c>
      <c r="H553" s="431">
        <v>6.09</v>
      </c>
      <c r="I553" s="431">
        <v>5.85</v>
      </c>
      <c r="J553" s="431">
        <v>5.33</v>
      </c>
      <c r="K553" s="431">
        <v>5.23</v>
      </c>
      <c r="L553" s="431">
        <v>5.04</v>
      </c>
      <c r="M553" s="431">
        <v>4.68</v>
      </c>
      <c r="N553" s="431">
        <v>4.75</v>
      </c>
      <c r="O553" s="431">
        <v>4.75</v>
      </c>
      <c r="P553" s="431">
        <v>4.34</v>
      </c>
      <c r="Q553" s="179">
        <f t="shared" si="15"/>
        <v>5.2241666666666662</v>
      </c>
      <c r="R553" s="179" t="s">
        <v>958</v>
      </c>
    </row>
    <row r="554" spans="1:18" x14ac:dyDescent="0.15">
      <c r="A554" s="179" t="str">
        <f t="shared" si="14"/>
        <v>Cuauhtemoc_Optimal Summer_157.5</v>
      </c>
      <c r="B554" s="501" t="s">
        <v>1132</v>
      </c>
      <c r="C554" s="429">
        <v>4</v>
      </c>
      <c r="D554" s="429">
        <v>157.5</v>
      </c>
      <c r="E554" s="431">
        <v>4.88</v>
      </c>
      <c r="F554" s="431">
        <v>5.75</v>
      </c>
      <c r="G554" s="431">
        <v>6.44</v>
      </c>
      <c r="H554" s="431">
        <v>6.25</v>
      </c>
      <c r="I554" s="431">
        <v>6.01</v>
      </c>
      <c r="J554" s="431">
        <v>5.47</v>
      </c>
      <c r="K554" s="431">
        <v>5.37</v>
      </c>
      <c r="L554" s="431">
        <v>5.18</v>
      </c>
      <c r="M554" s="431">
        <v>4.8099999999999996</v>
      </c>
      <c r="N554" s="431">
        <v>4.88</v>
      </c>
      <c r="O554" s="431">
        <v>4.88</v>
      </c>
      <c r="P554" s="431">
        <v>4.46</v>
      </c>
      <c r="Q554" s="179">
        <f t="shared" si="15"/>
        <v>5.3649999999999993</v>
      </c>
      <c r="R554" s="179" t="s">
        <v>958</v>
      </c>
    </row>
    <row r="555" spans="1:18" x14ac:dyDescent="0.15">
      <c r="A555" s="179" t="str">
        <f t="shared" si="14"/>
        <v>Cuauhtemoc_Optimal Summer_180</v>
      </c>
      <c r="B555" s="501" t="s">
        <v>1132</v>
      </c>
      <c r="C555" s="429">
        <v>4</v>
      </c>
      <c r="D555" s="429">
        <v>180</v>
      </c>
      <c r="E555" s="431">
        <v>5</v>
      </c>
      <c r="F555" s="431">
        <v>5.9</v>
      </c>
      <c r="G555" s="431">
        <v>6.61</v>
      </c>
      <c r="H555" s="431">
        <v>6.41</v>
      </c>
      <c r="I555" s="431">
        <v>6.16</v>
      </c>
      <c r="J555" s="431">
        <v>5.61</v>
      </c>
      <c r="K555" s="431">
        <v>5.51</v>
      </c>
      <c r="L555" s="431">
        <v>5.31</v>
      </c>
      <c r="M555" s="431">
        <v>4.93</v>
      </c>
      <c r="N555" s="431">
        <v>5</v>
      </c>
      <c r="O555" s="431">
        <v>5</v>
      </c>
      <c r="P555" s="431">
        <v>4.57</v>
      </c>
      <c r="Q555" s="179">
        <f t="shared" si="15"/>
        <v>5.5008333333333335</v>
      </c>
      <c r="R555" s="179" t="s">
        <v>958</v>
      </c>
    </row>
    <row r="556" spans="1:18" x14ac:dyDescent="0.15">
      <c r="A556" s="179" t="str">
        <f t="shared" si="14"/>
        <v>Cuauhtemoc_Optimal Summer_202.5</v>
      </c>
      <c r="B556" s="501" t="s">
        <v>1132</v>
      </c>
      <c r="C556" s="429">
        <v>4</v>
      </c>
      <c r="D556" s="429">
        <v>202.5</v>
      </c>
      <c r="E556" s="431">
        <v>4.88</v>
      </c>
      <c r="F556" s="431">
        <v>5.75</v>
      </c>
      <c r="G556" s="431">
        <v>6.44</v>
      </c>
      <c r="H556" s="431">
        <v>6.25</v>
      </c>
      <c r="I556" s="431">
        <v>6.01</v>
      </c>
      <c r="J556" s="431">
        <v>5.47</v>
      </c>
      <c r="K556" s="431">
        <v>5.37</v>
      </c>
      <c r="L556" s="431">
        <v>5.18</v>
      </c>
      <c r="M556" s="431">
        <v>4.8099999999999996</v>
      </c>
      <c r="N556" s="431">
        <v>4.88</v>
      </c>
      <c r="O556" s="431">
        <v>4.88</v>
      </c>
      <c r="P556" s="431">
        <v>4.46</v>
      </c>
      <c r="Q556" s="179">
        <f t="shared" si="15"/>
        <v>5.3649999999999993</v>
      </c>
      <c r="R556" s="179" t="s">
        <v>958</v>
      </c>
    </row>
    <row r="557" spans="1:18" x14ac:dyDescent="0.15">
      <c r="A557" s="179" t="str">
        <f t="shared" si="14"/>
        <v>Cuauhtemoc_Optimal Summer_225</v>
      </c>
      <c r="B557" s="501" t="s">
        <v>1132</v>
      </c>
      <c r="C557" s="429">
        <v>4</v>
      </c>
      <c r="D557" s="429">
        <v>225</v>
      </c>
      <c r="E557" s="431">
        <v>4.75</v>
      </c>
      <c r="F557" s="431">
        <v>5.6</v>
      </c>
      <c r="G557" s="431">
        <v>6.28</v>
      </c>
      <c r="H557" s="431">
        <v>6.09</v>
      </c>
      <c r="I557" s="431">
        <v>5.85</v>
      </c>
      <c r="J557" s="431">
        <v>5.33</v>
      </c>
      <c r="K557" s="431">
        <v>5.23</v>
      </c>
      <c r="L557" s="431">
        <v>5.04</v>
      </c>
      <c r="M557" s="431">
        <v>4.68</v>
      </c>
      <c r="N557" s="431">
        <v>4.75</v>
      </c>
      <c r="O557" s="431">
        <v>4.75</v>
      </c>
      <c r="P557" s="431">
        <v>4.34</v>
      </c>
      <c r="Q557" s="179">
        <f t="shared" si="15"/>
        <v>5.2241666666666662</v>
      </c>
      <c r="R557" s="179" t="s">
        <v>958</v>
      </c>
    </row>
    <row r="558" spans="1:18" x14ac:dyDescent="0.15">
      <c r="A558" s="179" t="str">
        <f t="shared" si="14"/>
        <v>Cuauhtemoc_Optimal Summer_247.5</v>
      </c>
      <c r="B558" s="501" t="s">
        <v>1132</v>
      </c>
      <c r="C558" s="429">
        <v>4</v>
      </c>
      <c r="D558" s="429">
        <v>247.5</v>
      </c>
      <c r="E558" s="431">
        <v>4.38</v>
      </c>
      <c r="F558" s="431">
        <v>5.16</v>
      </c>
      <c r="G558" s="431">
        <v>5.78</v>
      </c>
      <c r="H558" s="431">
        <v>5.61</v>
      </c>
      <c r="I558" s="431">
        <v>5.39</v>
      </c>
      <c r="J558" s="431">
        <v>4.91</v>
      </c>
      <c r="K558" s="431">
        <v>4.82</v>
      </c>
      <c r="L558" s="431">
        <v>4.6500000000000004</v>
      </c>
      <c r="M558" s="431">
        <v>4.3099999999999996</v>
      </c>
      <c r="N558" s="431">
        <v>4.38</v>
      </c>
      <c r="O558" s="431">
        <v>4.38</v>
      </c>
      <c r="P558" s="431">
        <v>4</v>
      </c>
      <c r="Q558" s="179">
        <f t="shared" si="15"/>
        <v>4.8141666666666669</v>
      </c>
      <c r="R558" s="179" t="s">
        <v>958</v>
      </c>
    </row>
    <row r="559" spans="1:18" x14ac:dyDescent="0.15">
      <c r="A559" s="179" t="str">
        <f t="shared" si="14"/>
        <v>Cuauhtemoc_Optimal Summer_270</v>
      </c>
      <c r="B559" s="501" t="s">
        <v>1132</v>
      </c>
      <c r="C559" s="429">
        <v>4</v>
      </c>
      <c r="D559" s="429">
        <v>270</v>
      </c>
      <c r="E559" s="431">
        <v>4</v>
      </c>
      <c r="F559" s="431">
        <v>4.72</v>
      </c>
      <c r="G559" s="431">
        <v>5.29</v>
      </c>
      <c r="H559" s="431">
        <v>5.13</v>
      </c>
      <c r="I559" s="431">
        <v>4.93</v>
      </c>
      <c r="J559" s="431">
        <v>4.49</v>
      </c>
      <c r="K559" s="431">
        <v>4.41</v>
      </c>
      <c r="L559" s="431">
        <v>4.25</v>
      </c>
      <c r="M559" s="431">
        <v>3.94</v>
      </c>
      <c r="N559" s="431">
        <v>4</v>
      </c>
      <c r="O559" s="431">
        <v>4</v>
      </c>
      <c r="P559" s="431">
        <v>3.66</v>
      </c>
      <c r="Q559" s="179">
        <f t="shared" si="15"/>
        <v>4.4016666666666664</v>
      </c>
      <c r="R559" s="179" t="s">
        <v>958</v>
      </c>
    </row>
    <row r="560" spans="1:18" x14ac:dyDescent="0.15">
      <c r="A560" s="179" t="str">
        <f t="shared" si="14"/>
        <v>Cuauhtemoc_Optimal Year Round_90</v>
      </c>
      <c r="B560" s="501" t="s">
        <v>1132</v>
      </c>
      <c r="C560" s="429">
        <v>19</v>
      </c>
      <c r="D560" s="429">
        <v>90</v>
      </c>
      <c r="E560" s="431">
        <v>4.62</v>
      </c>
      <c r="F560" s="431">
        <v>5.21</v>
      </c>
      <c r="G560" s="431">
        <v>5.5</v>
      </c>
      <c r="H560" s="431">
        <v>5.03</v>
      </c>
      <c r="I560" s="431">
        <v>4.63</v>
      </c>
      <c r="J560" s="431">
        <v>4.47</v>
      </c>
      <c r="K560" s="431">
        <v>4.37</v>
      </c>
      <c r="L560" s="431">
        <v>4.1100000000000003</v>
      </c>
      <c r="M560" s="431">
        <v>3.98</v>
      </c>
      <c r="N560" s="431">
        <v>4.26</v>
      </c>
      <c r="O560" s="431">
        <v>4.54</v>
      </c>
      <c r="P560" s="431">
        <v>4.2300000000000004</v>
      </c>
      <c r="Q560" s="179">
        <f t="shared" si="15"/>
        <v>4.5791666666666657</v>
      </c>
      <c r="R560" s="179" t="s">
        <v>993</v>
      </c>
    </row>
    <row r="561" spans="1:18" x14ac:dyDescent="0.15">
      <c r="A561" s="179" t="str">
        <f t="shared" si="14"/>
        <v>Cuauhtemoc_Optimal Year Round_112.5</v>
      </c>
      <c r="B561" s="501" t="s">
        <v>1132</v>
      </c>
      <c r="C561" s="429">
        <v>19</v>
      </c>
      <c r="D561" s="429">
        <v>112.5</v>
      </c>
      <c r="E561" s="431">
        <v>5.0599999999999996</v>
      </c>
      <c r="F561" s="431">
        <v>5.7</v>
      </c>
      <c r="G561" s="431">
        <v>6.02</v>
      </c>
      <c r="H561" s="431">
        <v>5.5</v>
      </c>
      <c r="I561" s="431">
        <v>5.07</v>
      </c>
      <c r="J561" s="431">
        <v>4.8899999999999997</v>
      </c>
      <c r="K561" s="431">
        <v>4.78</v>
      </c>
      <c r="L561" s="431">
        <v>4.5</v>
      </c>
      <c r="M561" s="431">
        <v>4.3499999999999996</v>
      </c>
      <c r="N561" s="431">
        <v>4.66</v>
      </c>
      <c r="O561" s="431">
        <v>4.97</v>
      </c>
      <c r="P561" s="431">
        <v>4.63</v>
      </c>
      <c r="Q561" s="179">
        <f t="shared" si="15"/>
        <v>5.0108333333333333</v>
      </c>
      <c r="R561" s="179" t="s">
        <v>993</v>
      </c>
    </row>
    <row r="562" spans="1:18" x14ac:dyDescent="0.15">
      <c r="A562" s="179" t="str">
        <f t="shared" si="14"/>
        <v>Cuauhtemoc_Optimal Year Round_135</v>
      </c>
      <c r="B562" s="501" t="s">
        <v>1132</v>
      </c>
      <c r="C562" s="429">
        <v>19</v>
      </c>
      <c r="D562" s="429">
        <v>135</v>
      </c>
      <c r="E562" s="431">
        <v>5.49</v>
      </c>
      <c r="F562" s="431">
        <v>6.18</v>
      </c>
      <c r="G562" s="431">
        <v>6.54</v>
      </c>
      <c r="H562" s="431">
        <v>5.98</v>
      </c>
      <c r="I562" s="431">
        <v>5.5</v>
      </c>
      <c r="J562" s="431">
        <v>5.31</v>
      </c>
      <c r="K562" s="431">
        <v>5.19</v>
      </c>
      <c r="L562" s="431">
        <v>4.88</v>
      </c>
      <c r="M562" s="431">
        <v>4.72</v>
      </c>
      <c r="N562" s="431">
        <v>5.0599999999999996</v>
      </c>
      <c r="O562" s="431">
        <v>5.4</v>
      </c>
      <c r="P562" s="431">
        <v>5.03</v>
      </c>
      <c r="Q562" s="179">
        <f t="shared" si="15"/>
        <v>5.44</v>
      </c>
      <c r="R562" s="179" t="s">
        <v>993</v>
      </c>
    </row>
    <row r="563" spans="1:18" x14ac:dyDescent="0.15">
      <c r="A563" s="179" t="str">
        <f t="shared" si="14"/>
        <v>Cuauhtemoc_Optimal Year Round_157.5</v>
      </c>
      <c r="B563" s="501" t="s">
        <v>1132</v>
      </c>
      <c r="C563" s="429">
        <v>19</v>
      </c>
      <c r="D563" s="429">
        <v>157.5</v>
      </c>
      <c r="E563" s="431">
        <v>5.64</v>
      </c>
      <c r="F563" s="431">
        <v>6.35</v>
      </c>
      <c r="G563" s="431">
        <v>6.71</v>
      </c>
      <c r="H563" s="431">
        <v>6.13</v>
      </c>
      <c r="I563" s="431">
        <v>5.65</v>
      </c>
      <c r="J563" s="431">
        <v>5.45</v>
      </c>
      <c r="K563" s="431">
        <v>5.32</v>
      </c>
      <c r="L563" s="431">
        <v>5.01</v>
      </c>
      <c r="M563" s="431">
        <v>4.8499999999999996</v>
      </c>
      <c r="N563" s="431">
        <v>5.2</v>
      </c>
      <c r="O563" s="431">
        <v>5.54</v>
      </c>
      <c r="P563" s="431">
        <v>5.16</v>
      </c>
      <c r="Q563" s="179">
        <f t="shared" si="15"/>
        <v>5.5841666666666674</v>
      </c>
      <c r="R563" s="179" t="s">
        <v>993</v>
      </c>
    </row>
    <row r="564" spans="1:18" x14ac:dyDescent="0.15">
      <c r="A564" s="179" t="str">
        <f t="shared" si="14"/>
        <v>Cuauhtemoc_Optimal Year Round_180</v>
      </c>
      <c r="B564" s="501" t="s">
        <v>1132</v>
      </c>
      <c r="C564" s="429">
        <v>19</v>
      </c>
      <c r="D564" s="429">
        <v>180</v>
      </c>
      <c r="E564" s="431">
        <v>5.78</v>
      </c>
      <c r="F564" s="431">
        <v>6.51</v>
      </c>
      <c r="G564" s="431">
        <v>6.88</v>
      </c>
      <c r="H564" s="431">
        <v>6.29</v>
      </c>
      <c r="I564" s="431">
        <v>5.79</v>
      </c>
      <c r="J564" s="431">
        <v>5.59</v>
      </c>
      <c r="K564" s="431">
        <v>5.46</v>
      </c>
      <c r="L564" s="431">
        <v>5.14</v>
      </c>
      <c r="M564" s="431">
        <v>4.97</v>
      </c>
      <c r="N564" s="431">
        <v>5.33</v>
      </c>
      <c r="O564" s="431">
        <v>5.68</v>
      </c>
      <c r="P564" s="431">
        <v>5.29</v>
      </c>
      <c r="Q564" s="179">
        <f t="shared" si="15"/>
        <v>5.7258333333333331</v>
      </c>
      <c r="R564" s="179" t="s">
        <v>993</v>
      </c>
    </row>
    <row r="565" spans="1:18" x14ac:dyDescent="0.15">
      <c r="A565" s="179" t="str">
        <f t="shared" si="14"/>
        <v>Cuauhtemoc_Optimal Year Round_202.5</v>
      </c>
      <c r="B565" s="501" t="s">
        <v>1132</v>
      </c>
      <c r="C565" s="429">
        <v>19</v>
      </c>
      <c r="D565" s="429">
        <v>202.5</v>
      </c>
      <c r="E565" s="431">
        <v>5.64</v>
      </c>
      <c r="F565" s="431">
        <v>6.35</v>
      </c>
      <c r="G565" s="431">
        <v>6.71</v>
      </c>
      <c r="H565" s="431">
        <v>6.13</v>
      </c>
      <c r="I565" s="431">
        <v>5.65</v>
      </c>
      <c r="J565" s="431">
        <v>5.45</v>
      </c>
      <c r="K565" s="431">
        <v>5.32</v>
      </c>
      <c r="L565" s="431">
        <v>5.01</v>
      </c>
      <c r="M565" s="431">
        <v>4.8499999999999996</v>
      </c>
      <c r="N565" s="431">
        <v>5.2</v>
      </c>
      <c r="O565" s="431">
        <v>5.54</v>
      </c>
      <c r="P565" s="431">
        <v>5.16</v>
      </c>
      <c r="Q565" s="179">
        <f t="shared" si="15"/>
        <v>5.5841666666666674</v>
      </c>
      <c r="R565" s="179" t="s">
        <v>993</v>
      </c>
    </row>
    <row r="566" spans="1:18" x14ac:dyDescent="0.15">
      <c r="A566" s="179" t="str">
        <f t="shared" si="14"/>
        <v>Cuauhtemoc_Optimal Year Round_225</v>
      </c>
      <c r="B566" s="501" t="s">
        <v>1132</v>
      </c>
      <c r="C566" s="429">
        <v>19</v>
      </c>
      <c r="D566" s="429">
        <v>225</v>
      </c>
      <c r="E566" s="431">
        <v>5.49</v>
      </c>
      <c r="F566" s="431">
        <v>6.18</v>
      </c>
      <c r="G566" s="431">
        <v>6.54</v>
      </c>
      <c r="H566" s="431">
        <v>5.98</v>
      </c>
      <c r="I566" s="431">
        <v>5.5</v>
      </c>
      <c r="J566" s="431">
        <v>5.31</v>
      </c>
      <c r="K566" s="431">
        <v>5.19</v>
      </c>
      <c r="L566" s="431">
        <v>4.88</v>
      </c>
      <c r="M566" s="431">
        <v>4.72</v>
      </c>
      <c r="N566" s="431">
        <v>5.0599999999999996</v>
      </c>
      <c r="O566" s="431">
        <v>5.4</v>
      </c>
      <c r="P566" s="431">
        <v>5.03</v>
      </c>
      <c r="Q566" s="179">
        <f t="shared" si="15"/>
        <v>5.44</v>
      </c>
      <c r="R566" s="179" t="s">
        <v>993</v>
      </c>
    </row>
    <row r="567" spans="1:18" x14ac:dyDescent="0.15">
      <c r="A567" s="179" t="str">
        <f t="shared" si="14"/>
        <v>Cuauhtemoc_Optimal Year Round_247.5</v>
      </c>
      <c r="B567" s="501" t="s">
        <v>1132</v>
      </c>
      <c r="C567" s="429">
        <v>19</v>
      </c>
      <c r="D567" s="429">
        <v>247.5</v>
      </c>
      <c r="E567" s="431">
        <v>5.0599999999999996</v>
      </c>
      <c r="F567" s="431">
        <v>5.7</v>
      </c>
      <c r="G567" s="431">
        <v>6.02</v>
      </c>
      <c r="H567" s="431">
        <v>5.5</v>
      </c>
      <c r="I567" s="431">
        <v>5.07</v>
      </c>
      <c r="J567" s="431">
        <v>4.8899999999999997</v>
      </c>
      <c r="K567" s="431">
        <v>4.78</v>
      </c>
      <c r="L567" s="431">
        <v>4.5</v>
      </c>
      <c r="M567" s="431">
        <v>4.3499999999999996</v>
      </c>
      <c r="N567" s="431">
        <v>4.66</v>
      </c>
      <c r="O567" s="431">
        <v>4.97</v>
      </c>
      <c r="P567" s="431">
        <v>4.63</v>
      </c>
      <c r="Q567" s="179">
        <f t="shared" si="15"/>
        <v>5.0108333333333333</v>
      </c>
      <c r="R567" s="179" t="s">
        <v>993</v>
      </c>
    </row>
    <row r="568" spans="1:18" x14ac:dyDescent="0.15">
      <c r="A568" s="179" t="str">
        <f t="shared" si="14"/>
        <v>Cuauhtemoc_Optimal Year Round_270</v>
      </c>
      <c r="B568" s="501" t="s">
        <v>1132</v>
      </c>
      <c r="C568" s="429">
        <v>19</v>
      </c>
      <c r="D568" s="429">
        <v>270</v>
      </c>
      <c r="E568" s="431">
        <v>4.62</v>
      </c>
      <c r="F568" s="431">
        <v>5.21</v>
      </c>
      <c r="G568" s="431">
        <v>5.5</v>
      </c>
      <c r="H568" s="431">
        <v>5.03</v>
      </c>
      <c r="I568" s="431">
        <v>4.63</v>
      </c>
      <c r="J568" s="431">
        <v>4.47</v>
      </c>
      <c r="K568" s="431">
        <v>4.37</v>
      </c>
      <c r="L568" s="431">
        <v>4.1100000000000003</v>
      </c>
      <c r="M568" s="431">
        <v>3.98</v>
      </c>
      <c r="N568" s="431">
        <v>4.26</v>
      </c>
      <c r="O568" s="431">
        <v>4.54</v>
      </c>
      <c r="P568" s="431">
        <v>4.2300000000000004</v>
      </c>
      <c r="Q568" s="179">
        <f t="shared" si="15"/>
        <v>4.5791666666666657</v>
      </c>
      <c r="R568" s="179" t="s">
        <v>993</v>
      </c>
    </row>
    <row r="569" spans="1:18" x14ac:dyDescent="0.15">
      <c r="A569" s="179" t="str">
        <f t="shared" si="14"/>
        <v>Cuautitlan Izcalli_Flat Surface_90</v>
      </c>
      <c r="B569" s="501" t="s">
        <v>1133</v>
      </c>
      <c r="C569" s="429">
        <v>0</v>
      </c>
      <c r="D569" s="429">
        <v>90</v>
      </c>
      <c r="E569" s="431">
        <v>4.74</v>
      </c>
      <c r="F569" s="431">
        <v>5.68</v>
      </c>
      <c r="G569" s="431">
        <v>6.47</v>
      </c>
      <c r="H569" s="431">
        <v>6.38</v>
      </c>
      <c r="I569" s="431">
        <v>6.21</v>
      </c>
      <c r="J569" s="431">
        <v>5.57</v>
      </c>
      <c r="K569" s="431">
        <v>5.48</v>
      </c>
      <c r="L569" s="431">
        <v>5.31</v>
      </c>
      <c r="M569" s="431">
        <v>4.88</v>
      </c>
      <c r="N569" s="431">
        <v>4.87</v>
      </c>
      <c r="O569" s="431">
        <v>4.7699999999999996</v>
      </c>
      <c r="P569" s="431">
        <v>4.34</v>
      </c>
      <c r="Q569" s="179">
        <f t="shared" si="15"/>
        <v>5.3916666666666666</v>
      </c>
      <c r="R569" s="179" t="s">
        <v>994</v>
      </c>
    </row>
    <row r="570" spans="1:18" x14ac:dyDescent="0.15">
      <c r="A570" s="179" t="str">
        <f t="shared" si="14"/>
        <v>Cuautitlan Izcalli_Flat Surface_112.5</v>
      </c>
      <c r="B570" s="501" t="s">
        <v>1133</v>
      </c>
      <c r="C570" s="429">
        <v>0</v>
      </c>
      <c r="D570" s="429">
        <v>112.5</v>
      </c>
      <c r="E570" s="431">
        <v>4.74</v>
      </c>
      <c r="F570" s="431">
        <v>5.68</v>
      </c>
      <c r="G570" s="431">
        <v>6.47</v>
      </c>
      <c r="H570" s="431">
        <v>6.38</v>
      </c>
      <c r="I570" s="431">
        <v>6.21</v>
      </c>
      <c r="J570" s="431">
        <v>5.57</v>
      </c>
      <c r="K570" s="431">
        <v>5.48</v>
      </c>
      <c r="L570" s="431">
        <v>5.31</v>
      </c>
      <c r="M570" s="431">
        <v>4.88</v>
      </c>
      <c r="N570" s="431">
        <v>4.87</v>
      </c>
      <c r="O570" s="431">
        <v>4.7699999999999996</v>
      </c>
      <c r="P570" s="431">
        <v>4.34</v>
      </c>
      <c r="Q570" s="179">
        <f t="shared" si="15"/>
        <v>5.3916666666666666</v>
      </c>
      <c r="R570" s="179" t="s">
        <v>994</v>
      </c>
    </row>
    <row r="571" spans="1:18" x14ac:dyDescent="0.15">
      <c r="A571" s="179" t="str">
        <f t="shared" si="14"/>
        <v>Cuautitlan Izcalli_Flat Surface_135</v>
      </c>
      <c r="B571" s="501" t="s">
        <v>1133</v>
      </c>
      <c r="C571" s="429">
        <v>0</v>
      </c>
      <c r="D571" s="429">
        <v>135</v>
      </c>
      <c r="E571" s="431">
        <v>4.74</v>
      </c>
      <c r="F571" s="431">
        <v>5.68</v>
      </c>
      <c r="G571" s="431">
        <v>6.47</v>
      </c>
      <c r="H571" s="431">
        <v>6.38</v>
      </c>
      <c r="I571" s="431">
        <v>6.21</v>
      </c>
      <c r="J571" s="431">
        <v>5.57</v>
      </c>
      <c r="K571" s="431">
        <v>5.48</v>
      </c>
      <c r="L571" s="431">
        <v>5.31</v>
      </c>
      <c r="M571" s="431">
        <v>4.88</v>
      </c>
      <c r="N571" s="431">
        <v>4.87</v>
      </c>
      <c r="O571" s="431">
        <v>4.7699999999999996</v>
      </c>
      <c r="P571" s="431">
        <v>4.34</v>
      </c>
      <c r="Q571" s="179">
        <f t="shared" si="15"/>
        <v>5.3916666666666666</v>
      </c>
      <c r="R571" s="179" t="s">
        <v>994</v>
      </c>
    </row>
    <row r="572" spans="1:18" x14ac:dyDescent="0.15">
      <c r="A572" s="179" t="str">
        <f t="shared" si="14"/>
        <v>Cuautitlan Izcalli_Flat Surface_157.5</v>
      </c>
      <c r="B572" s="501" t="s">
        <v>1133</v>
      </c>
      <c r="C572" s="429">
        <v>0</v>
      </c>
      <c r="D572" s="429">
        <v>157.5</v>
      </c>
      <c r="E572" s="431">
        <v>4.74</v>
      </c>
      <c r="F572" s="431">
        <v>5.68</v>
      </c>
      <c r="G572" s="431">
        <v>6.47</v>
      </c>
      <c r="H572" s="431">
        <v>6.38</v>
      </c>
      <c r="I572" s="431">
        <v>6.21</v>
      </c>
      <c r="J572" s="431">
        <v>5.57</v>
      </c>
      <c r="K572" s="431">
        <v>5.48</v>
      </c>
      <c r="L572" s="431">
        <v>5.31</v>
      </c>
      <c r="M572" s="431">
        <v>4.88</v>
      </c>
      <c r="N572" s="431">
        <v>4.87</v>
      </c>
      <c r="O572" s="431">
        <v>4.7699999999999996</v>
      </c>
      <c r="P572" s="431">
        <v>4.34</v>
      </c>
      <c r="Q572" s="179">
        <f t="shared" si="15"/>
        <v>5.3916666666666666</v>
      </c>
      <c r="R572" s="179" t="s">
        <v>994</v>
      </c>
    </row>
    <row r="573" spans="1:18" x14ac:dyDescent="0.15">
      <c r="A573" s="179" t="str">
        <f t="shared" si="14"/>
        <v>Cuautitlan Izcalli_Flat Surface_180</v>
      </c>
      <c r="B573" s="501" t="s">
        <v>1133</v>
      </c>
      <c r="C573" s="429">
        <v>0</v>
      </c>
      <c r="D573" s="429">
        <v>180</v>
      </c>
      <c r="E573" s="431">
        <v>4.74</v>
      </c>
      <c r="F573" s="431">
        <v>5.68</v>
      </c>
      <c r="G573" s="431">
        <v>6.47</v>
      </c>
      <c r="H573" s="431">
        <v>6.38</v>
      </c>
      <c r="I573" s="431">
        <v>6.21</v>
      </c>
      <c r="J573" s="431">
        <v>5.57</v>
      </c>
      <c r="K573" s="431">
        <v>5.48</v>
      </c>
      <c r="L573" s="431">
        <v>5.31</v>
      </c>
      <c r="M573" s="431">
        <v>4.88</v>
      </c>
      <c r="N573" s="431">
        <v>4.87</v>
      </c>
      <c r="O573" s="431">
        <v>4.7699999999999996</v>
      </c>
      <c r="P573" s="431">
        <v>4.34</v>
      </c>
      <c r="Q573" s="179">
        <f t="shared" si="15"/>
        <v>5.3916666666666666</v>
      </c>
      <c r="R573" s="179" t="s">
        <v>994</v>
      </c>
    </row>
    <row r="574" spans="1:18" x14ac:dyDescent="0.15">
      <c r="A574" s="179" t="str">
        <f t="shared" si="14"/>
        <v>Cuautitlan Izcalli_Flat Surface_202.5</v>
      </c>
      <c r="B574" s="501" t="s">
        <v>1133</v>
      </c>
      <c r="C574" s="429">
        <v>0</v>
      </c>
      <c r="D574" s="429">
        <v>202.5</v>
      </c>
      <c r="E574" s="431">
        <v>4.74</v>
      </c>
      <c r="F574" s="431">
        <v>5.68</v>
      </c>
      <c r="G574" s="431">
        <v>6.47</v>
      </c>
      <c r="H574" s="431">
        <v>6.38</v>
      </c>
      <c r="I574" s="431">
        <v>6.21</v>
      </c>
      <c r="J574" s="431">
        <v>5.57</v>
      </c>
      <c r="K574" s="431">
        <v>5.48</v>
      </c>
      <c r="L574" s="431">
        <v>5.31</v>
      </c>
      <c r="M574" s="431">
        <v>4.88</v>
      </c>
      <c r="N574" s="431">
        <v>4.87</v>
      </c>
      <c r="O574" s="431">
        <v>4.7699999999999996</v>
      </c>
      <c r="P574" s="431">
        <v>4.34</v>
      </c>
      <c r="Q574" s="179">
        <f t="shared" si="15"/>
        <v>5.3916666666666666</v>
      </c>
      <c r="R574" s="179" t="s">
        <v>994</v>
      </c>
    </row>
    <row r="575" spans="1:18" x14ac:dyDescent="0.15">
      <c r="A575" s="179" t="str">
        <f t="shared" si="14"/>
        <v>Cuautitlan Izcalli_Flat Surface_225</v>
      </c>
      <c r="B575" s="501" t="s">
        <v>1133</v>
      </c>
      <c r="C575" s="429">
        <v>0</v>
      </c>
      <c r="D575" s="429">
        <v>225</v>
      </c>
      <c r="E575" s="431">
        <v>4.74</v>
      </c>
      <c r="F575" s="431">
        <v>5.68</v>
      </c>
      <c r="G575" s="431">
        <v>6.47</v>
      </c>
      <c r="H575" s="431">
        <v>6.38</v>
      </c>
      <c r="I575" s="431">
        <v>6.21</v>
      </c>
      <c r="J575" s="431">
        <v>5.57</v>
      </c>
      <c r="K575" s="431">
        <v>5.48</v>
      </c>
      <c r="L575" s="431">
        <v>5.31</v>
      </c>
      <c r="M575" s="431">
        <v>4.88</v>
      </c>
      <c r="N575" s="431">
        <v>4.87</v>
      </c>
      <c r="O575" s="431">
        <v>4.7699999999999996</v>
      </c>
      <c r="P575" s="431">
        <v>4.34</v>
      </c>
      <c r="Q575" s="179">
        <f t="shared" si="15"/>
        <v>5.3916666666666666</v>
      </c>
      <c r="R575" s="179" t="s">
        <v>994</v>
      </c>
    </row>
    <row r="576" spans="1:18" x14ac:dyDescent="0.15">
      <c r="A576" s="179" t="str">
        <f t="shared" si="14"/>
        <v>Cuautitlan Izcalli_Flat Surface_247.5</v>
      </c>
      <c r="B576" s="501" t="s">
        <v>1133</v>
      </c>
      <c r="C576" s="429">
        <v>0</v>
      </c>
      <c r="D576" s="429">
        <v>247.5</v>
      </c>
      <c r="E576" s="431">
        <v>4.74</v>
      </c>
      <c r="F576" s="431">
        <v>5.68</v>
      </c>
      <c r="G576" s="431">
        <v>6.47</v>
      </c>
      <c r="H576" s="431">
        <v>6.38</v>
      </c>
      <c r="I576" s="431">
        <v>6.21</v>
      </c>
      <c r="J576" s="431">
        <v>5.57</v>
      </c>
      <c r="K576" s="431">
        <v>5.48</v>
      </c>
      <c r="L576" s="431">
        <v>5.31</v>
      </c>
      <c r="M576" s="431">
        <v>4.88</v>
      </c>
      <c r="N576" s="431">
        <v>4.87</v>
      </c>
      <c r="O576" s="431">
        <v>4.7699999999999996</v>
      </c>
      <c r="P576" s="431">
        <v>4.34</v>
      </c>
      <c r="Q576" s="179">
        <f t="shared" si="15"/>
        <v>5.3916666666666666</v>
      </c>
      <c r="R576" s="179" t="s">
        <v>994</v>
      </c>
    </row>
    <row r="577" spans="1:18" x14ac:dyDescent="0.15">
      <c r="A577" s="179" t="str">
        <f t="shared" si="14"/>
        <v>Cuautitlan Izcalli_Flat Surface_270</v>
      </c>
      <c r="B577" s="501" t="s">
        <v>1133</v>
      </c>
      <c r="C577" s="429">
        <v>0</v>
      </c>
      <c r="D577" s="429">
        <v>270</v>
      </c>
      <c r="E577" s="431">
        <v>4.74</v>
      </c>
      <c r="F577" s="431">
        <v>5.68</v>
      </c>
      <c r="G577" s="431">
        <v>6.47</v>
      </c>
      <c r="H577" s="431">
        <v>6.38</v>
      </c>
      <c r="I577" s="431">
        <v>6.21</v>
      </c>
      <c r="J577" s="431">
        <v>5.57</v>
      </c>
      <c r="K577" s="431">
        <v>5.48</v>
      </c>
      <c r="L577" s="431">
        <v>5.31</v>
      </c>
      <c r="M577" s="431">
        <v>4.88</v>
      </c>
      <c r="N577" s="431">
        <v>4.87</v>
      </c>
      <c r="O577" s="431">
        <v>4.7699999999999996</v>
      </c>
      <c r="P577" s="431">
        <v>4.34</v>
      </c>
      <c r="Q577" s="179">
        <f t="shared" si="15"/>
        <v>5.3916666666666666</v>
      </c>
      <c r="R577" s="179" t="s">
        <v>994</v>
      </c>
    </row>
    <row r="578" spans="1:18" x14ac:dyDescent="0.15">
      <c r="A578" s="179" t="str">
        <f t="shared" ref="A578:A641" si="16">B578&amp;"_"&amp;R578&amp;"_"&amp;D578</f>
        <v>Cuautitlan Izcalli_Optimal Summer_90</v>
      </c>
      <c r="B578" s="501" t="s">
        <v>1133</v>
      </c>
      <c r="C578" s="429">
        <v>5</v>
      </c>
      <c r="D578" s="429">
        <v>90</v>
      </c>
      <c r="E578" s="431">
        <v>4</v>
      </c>
      <c r="F578" s="431">
        <v>4.72</v>
      </c>
      <c r="G578" s="431">
        <v>5.29</v>
      </c>
      <c r="H578" s="431">
        <v>5.13</v>
      </c>
      <c r="I578" s="431">
        <v>4.93</v>
      </c>
      <c r="J578" s="431">
        <v>4.49</v>
      </c>
      <c r="K578" s="431">
        <v>4.41</v>
      </c>
      <c r="L578" s="431">
        <v>4.25</v>
      </c>
      <c r="M578" s="431">
        <v>3.94</v>
      </c>
      <c r="N578" s="431">
        <v>4.01</v>
      </c>
      <c r="O578" s="431">
        <v>4</v>
      </c>
      <c r="P578" s="431">
        <v>3.66</v>
      </c>
      <c r="Q578" s="179">
        <f t="shared" ref="Q578:Q641" si="17">AVERAGE(E578:P578)</f>
        <v>4.4024999999999999</v>
      </c>
      <c r="R578" s="179" t="s">
        <v>958</v>
      </c>
    </row>
    <row r="579" spans="1:18" x14ac:dyDescent="0.15">
      <c r="A579" s="179" t="str">
        <f t="shared" si="16"/>
        <v>Cuautitlan Izcalli_Optimal Summer_112.5</v>
      </c>
      <c r="B579" s="501" t="s">
        <v>1133</v>
      </c>
      <c r="C579" s="429">
        <v>5</v>
      </c>
      <c r="D579" s="429">
        <v>112.5</v>
      </c>
      <c r="E579" s="431">
        <v>4.38</v>
      </c>
      <c r="F579" s="431">
        <v>5.16</v>
      </c>
      <c r="G579" s="431">
        <v>5.78</v>
      </c>
      <c r="H579" s="431">
        <v>5.61</v>
      </c>
      <c r="I579" s="431">
        <v>5.39</v>
      </c>
      <c r="J579" s="431">
        <v>4.91</v>
      </c>
      <c r="K579" s="431">
        <v>4.82</v>
      </c>
      <c r="L579" s="431">
        <v>4.6500000000000004</v>
      </c>
      <c r="M579" s="431">
        <v>4.3099999999999996</v>
      </c>
      <c r="N579" s="431">
        <v>4.38</v>
      </c>
      <c r="O579" s="431">
        <v>4.38</v>
      </c>
      <c r="P579" s="431">
        <v>4.01</v>
      </c>
      <c r="Q579" s="179">
        <f t="shared" si="17"/>
        <v>4.8150000000000004</v>
      </c>
      <c r="R579" s="179" t="s">
        <v>958</v>
      </c>
    </row>
    <row r="580" spans="1:18" x14ac:dyDescent="0.15">
      <c r="A580" s="179" t="str">
        <f t="shared" si="16"/>
        <v>Cuautitlan Izcalli_Optimal Summer_135</v>
      </c>
      <c r="B580" s="501" t="s">
        <v>1133</v>
      </c>
      <c r="C580" s="429">
        <v>5</v>
      </c>
      <c r="D580" s="429">
        <v>135</v>
      </c>
      <c r="E580" s="431">
        <v>4.75</v>
      </c>
      <c r="F580" s="431">
        <v>5.6</v>
      </c>
      <c r="G580" s="431">
        <v>6.28</v>
      </c>
      <c r="H580" s="431">
        <v>6.09</v>
      </c>
      <c r="I580" s="431">
        <v>5.85</v>
      </c>
      <c r="J580" s="431">
        <v>5.33</v>
      </c>
      <c r="K580" s="431">
        <v>5.23</v>
      </c>
      <c r="L580" s="431">
        <v>5.04</v>
      </c>
      <c r="M580" s="431">
        <v>4.68</v>
      </c>
      <c r="N580" s="431">
        <v>4.76</v>
      </c>
      <c r="O580" s="431">
        <v>4.75</v>
      </c>
      <c r="P580" s="431">
        <v>4.3499999999999996</v>
      </c>
      <c r="Q580" s="179">
        <f t="shared" si="17"/>
        <v>5.2258333333333331</v>
      </c>
      <c r="R580" s="179" t="s">
        <v>958</v>
      </c>
    </row>
    <row r="581" spans="1:18" x14ac:dyDescent="0.15">
      <c r="A581" s="179" t="str">
        <f t="shared" si="16"/>
        <v>Cuautitlan Izcalli_Optimal Summer_157.5</v>
      </c>
      <c r="B581" s="501" t="s">
        <v>1133</v>
      </c>
      <c r="C581" s="429">
        <v>5</v>
      </c>
      <c r="D581" s="429">
        <v>157.5</v>
      </c>
      <c r="E581" s="431">
        <v>4.88</v>
      </c>
      <c r="F581" s="431">
        <v>5.75</v>
      </c>
      <c r="G581" s="431">
        <v>6.44</v>
      </c>
      <c r="H581" s="431">
        <v>6.25</v>
      </c>
      <c r="I581" s="431">
        <v>6.01</v>
      </c>
      <c r="J581" s="431">
        <v>5.47</v>
      </c>
      <c r="K581" s="431">
        <v>5.37</v>
      </c>
      <c r="L581" s="431">
        <v>5.18</v>
      </c>
      <c r="M581" s="431">
        <v>4.8099999999999996</v>
      </c>
      <c r="N581" s="431">
        <v>4.88</v>
      </c>
      <c r="O581" s="431">
        <v>4.88</v>
      </c>
      <c r="P581" s="431">
        <v>4.47</v>
      </c>
      <c r="Q581" s="179">
        <f t="shared" si="17"/>
        <v>5.3658333333333337</v>
      </c>
      <c r="R581" s="179" t="s">
        <v>958</v>
      </c>
    </row>
    <row r="582" spans="1:18" x14ac:dyDescent="0.15">
      <c r="A582" s="179" t="str">
        <f t="shared" si="16"/>
        <v>Cuautitlan Izcalli_Optimal Summer_180</v>
      </c>
      <c r="B582" s="501" t="s">
        <v>1133</v>
      </c>
      <c r="C582" s="429">
        <v>5</v>
      </c>
      <c r="D582" s="429">
        <v>180</v>
      </c>
      <c r="E582" s="431">
        <v>5</v>
      </c>
      <c r="F582" s="431">
        <v>5.9</v>
      </c>
      <c r="G582" s="431">
        <v>6.61</v>
      </c>
      <c r="H582" s="431">
        <v>6.41</v>
      </c>
      <c r="I582" s="431">
        <v>6.16</v>
      </c>
      <c r="J582" s="431">
        <v>5.61</v>
      </c>
      <c r="K582" s="431">
        <v>5.51</v>
      </c>
      <c r="L582" s="431">
        <v>5.31</v>
      </c>
      <c r="M582" s="431">
        <v>4.93</v>
      </c>
      <c r="N582" s="431">
        <v>5.01</v>
      </c>
      <c r="O582" s="431">
        <v>5</v>
      </c>
      <c r="P582" s="431">
        <v>4.58</v>
      </c>
      <c r="Q582" s="179">
        <f t="shared" si="17"/>
        <v>5.5025000000000004</v>
      </c>
      <c r="R582" s="179" t="s">
        <v>958</v>
      </c>
    </row>
    <row r="583" spans="1:18" x14ac:dyDescent="0.15">
      <c r="A583" s="179" t="str">
        <f t="shared" si="16"/>
        <v>Cuautitlan Izcalli_Optimal Summer_202.5</v>
      </c>
      <c r="B583" s="501" t="s">
        <v>1133</v>
      </c>
      <c r="C583" s="429">
        <v>5</v>
      </c>
      <c r="D583" s="429">
        <v>202.5</v>
      </c>
      <c r="E583" s="431">
        <v>4.88</v>
      </c>
      <c r="F583" s="431">
        <v>5.75</v>
      </c>
      <c r="G583" s="431">
        <v>6.44</v>
      </c>
      <c r="H583" s="431">
        <v>6.25</v>
      </c>
      <c r="I583" s="431">
        <v>6.01</v>
      </c>
      <c r="J583" s="431">
        <v>5.47</v>
      </c>
      <c r="K583" s="431">
        <v>5.37</v>
      </c>
      <c r="L583" s="431">
        <v>5.18</v>
      </c>
      <c r="M583" s="431">
        <v>4.8099999999999996</v>
      </c>
      <c r="N583" s="431">
        <v>4.88</v>
      </c>
      <c r="O583" s="431">
        <v>4.88</v>
      </c>
      <c r="P583" s="431">
        <v>4.47</v>
      </c>
      <c r="Q583" s="179">
        <f t="shared" si="17"/>
        <v>5.3658333333333337</v>
      </c>
      <c r="R583" s="179" t="s">
        <v>958</v>
      </c>
    </row>
    <row r="584" spans="1:18" x14ac:dyDescent="0.15">
      <c r="A584" s="179" t="str">
        <f t="shared" si="16"/>
        <v>Cuautitlan Izcalli_Optimal Summer_225</v>
      </c>
      <c r="B584" s="501" t="s">
        <v>1133</v>
      </c>
      <c r="C584" s="429">
        <v>5</v>
      </c>
      <c r="D584" s="429">
        <v>225</v>
      </c>
      <c r="E584" s="431">
        <v>4.75</v>
      </c>
      <c r="F584" s="431">
        <v>5.6</v>
      </c>
      <c r="G584" s="431">
        <v>6.28</v>
      </c>
      <c r="H584" s="431">
        <v>6.09</v>
      </c>
      <c r="I584" s="431">
        <v>5.85</v>
      </c>
      <c r="J584" s="431">
        <v>5.33</v>
      </c>
      <c r="K584" s="431">
        <v>5.23</v>
      </c>
      <c r="L584" s="431">
        <v>5.04</v>
      </c>
      <c r="M584" s="431">
        <v>4.68</v>
      </c>
      <c r="N584" s="431">
        <v>4.76</v>
      </c>
      <c r="O584" s="431">
        <v>4.75</v>
      </c>
      <c r="P584" s="431">
        <v>4.3499999999999996</v>
      </c>
      <c r="Q584" s="179">
        <f t="shared" si="17"/>
        <v>5.2258333333333331</v>
      </c>
      <c r="R584" s="179" t="s">
        <v>958</v>
      </c>
    </row>
    <row r="585" spans="1:18" x14ac:dyDescent="0.15">
      <c r="A585" s="179" t="str">
        <f t="shared" si="16"/>
        <v>Cuautitlan Izcalli_Optimal Summer_247.5</v>
      </c>
      <c r="B585" s="501" t="s">
        <v>1133</v>
      </c>
      <c r="C585" s="429">
        <v>5</v>
      </c>
      <c r="D585" s="429">
        <v>247.5</v>
      </c>
      <c r="E585" s="431">
        <v>4.38</v>
      </c>
      <c r="F585" s="431">
        <v>5.16</v>
      </c>
      <c r="G585" s="431">
        <v>5.78</v>
      </c>
      <c r="H585" s="431">
        <v>5.61</v>
      </c>
      <c r="I585" s="431">
        <v>5.39</v>
      </c>
      <c r="J585" s="431">
        <v>4.91</v>
      </c>
      <c r="K585" s="431">
        <v>4.82</v>
      </c>
      <c r="L585" s="431">
        <v>4.6500000000000004</v>
      </c>
      <c r="M585" s="431">
        <v>4.3099999999999996</v>
      </c>
      <c r="N585" s="431">
        <v>4.38</v>
      </c>
      <c r="O585" s="431">
        <v>4.38</v>
      </c>
      <c r="P585" s="431">
        <v>4.01</v>
      </c>
      <c r="Q585" s="179">
        <f t="shared" si="17"/>
        <v>4.8150000000000004</v>
      </c>
      <c r="R585" s="179" t="s">
        <v>958</v>
      </c>
    </row>
    <row r="586" spans="1:18" x14ac:dyDescent="0.15">
      <c r="A586" s="179" t="str">
        <f t="shared" si="16"/>
        <v>Cuautitlan Izcalli_Optimal Summer_270</v>
      </c>
      <c r="B586" s="501" t="s">
        <v>1133</v>
      </c>
      <c r="C586" s="429">
        <v>5</v>
      </c>
      <c r="D586" s="429">
        <v>270</v>
      </c>
      <c r="E586" s="431">
        <v>4</v>
      </c>
      <c r="F586" s="431">
        <v>4.72</v>
      </c>
      <c r="G586" s="431">
        <v>5.29</v>
      </c>
      <c r="H586" s="431">
        <v>5.13</v>
      </c>
      <c r="I586" s="431">
        <v>4.93</v>
      </c>
      <c r="J586" s="431">
        <v>4.49</v>
      </c>
      <c r="K586" s="431">
        <v>4.41</v>
      </c>
      <c r="L586" s="431">
        <v>4.25</v>
      </c>
      <c r="M586" s="431">
        <v>3.94</v>
      </c>
      <c r="N586" s="431">
        <v>4.01</v>
      </c>
      <c r="O586" s="431">
        <v>4</v>
      </c>
      <c r="P586" s="431">
        <v>3.66</v>
      </c>
      <c r="Q586" s="179">
        <f t="shared" si="17"/>
        <v>4.4024999999999999</v>
      </c>
      <c r="R586" s="179" t="s">
        <v>958</v>
      </c>
    </row>
    <row r="587" spans="1:18" x14ac:dyDescent="0.15">
      <c r="A587" s="179" t="str">
        <f t="shared" si="16"/>
        <v>Cuautitlan Izcalli_Optimal Year Round_90</v>
      </c>
      <c r="B587" s="501" t="s">
        <v>1133</v>
      </c>
      <c r="C587" s="429">
        <v>20</v>
      </c>
      <c r="D587" s="429">
        <v>90</v>
      </c>
      <c r="E587" s="431">
        <v>4.62</v>
      </c>
      <c r="F587" s="431">
        <v>5.22</v>
      </c>
      <c r="G587" s="431">
        <v>5.5</v>
      </c>
      <c r="H587" s="431">
        <v>5.04</v>
      </c>
      <c r="I587" s="431">
        <v>4.63</v>
      </c>
      <c r="J587" s="431">
        <v>4.46</v>
      </c>
      <c r="K587" s="431">
        <v>4.3600000000000003</v>
      </c>
      <c r="L587" s="431">
        <v>4.1100000000000003</v>
      </c>
      <c r="M587" s="431">
        <v>3.98</v>
      </c>
      <c r="N587" s="431">
        <v>4.2699999999999996</v>
      </c>
      <c r="O587" s="431">
        <v>4.55</v>
      </c>
      <c r="P587" s="431">
        <v>4.24</v>
      </c>
      <c r="Q587" s="179">
        <f t="shared" si="17"/>
        <v>4.5816666666666661</v>
      </c>
      <c r="R587" s="179" t="s">
        <v>993</v>
      </c>
    </row>
    <row r="588" spans="1:18" x14ac:dyDescent="0.15">
      <c r="A588" s="179" t="str">
        <f t="shared" si="16"/>
        <v>Cuautitlan Izcalli_Optimal Year Round_112.5</v>
      </c>
      <c r="B588" s="501" t="s">
        <v>1133</v>
      </c>
      <c r="C588" s="429">
        <v>20</v>
      </c>
      <c r="D588" s="429">
        <v>112.5</v>
      </c>
      <c r="E588" s="431">
        <v>5.0599999999999996</v>
      </c>
      <c r="F588" s="431">
        <v>5.7</v>
      </c>
      <c r="G588" s="431">
        <v>6.02</v>
      </c>
      <c r="H588" s="431">
        <v>5.51</v>
      </c>
      <c r="I588" s="431">
        <v>5.07</v>
      </c>
      <c r="J588" s="431">
        <v>4.88</v>
      </c>
      <c r="K588" s="431">
        <v>4.7699999999999996</v>
      </c>
      <c r="L588" s="431">
        <v>4.5</v>
      </c>
      <c r="M588" s="431">
        <v>4.3499999999999996</v>
      </c>
      <c r="N588" s="431">
        <v>4.67</v>
      </c>
      <c r="O588" s="431">
        <v>4.9800000000000004</v>
      </c>
      <c r="P588" s="431">
        <v>4.6399999999999997</v>
      </c>
      <c r="Q588" s="179">
        <f t="shared" si="17"/>
        <v>5.0125000000000002</v>
      </c>
      <c r="R588" s="179" t="s">
        <v>993</v>
      </c>
    </row>
    <row r="589" spans="1:18" x14ac:dyDescent="0.15">
      <c r="A589" s="179" t="str">
        <f t="shared" si="16"/>
        <v>Cuautitlan Izcalli_Optimal Year Round_135</v>
      </c>
      <c r="B589" s="501" t="s">
        <v>1133</v>
      </c>
      <c r="C589" s="429">
        <v>20</v>
      </c>
      <c r="D589" s="429">
        <v>135</v>
      </c>
      <c r="E589" s="431">
        <v>5.49</v>
      </c>
      <c r="F589" s="431">
        <v>6.19</v>
      </c>
      <c r="G589" s="431">
        <v>6.54</v>
      </c>
      <c r="H589" s="431">
        <v>5.98</v>
      </c>
      <c r="I589" s="431">
        <v>5.5</v>
      </c>
      <c r="J589" s="431">
        <v>5.3</v>
      </c>
      <c r="K589" s="431">
        <v>5.18</v>
      </c>
      <c r="L589" s="431">
        <v>4.88</v>
      </c>
      <c r="M589" s="431">
        <v>4.72</v>
      </c>
      <c r="N589" s="431">
        <v>5.07</v>
      </c>
      <c r="O589" s="431">
        <v>5.41</v>
      </c>
      <c r="P589" s="431">
        <v>5.04</v>
      </c>
      <c r="Q589" s="179">
        <f t="shared" si="17"/>
        <v>5.4416666666666673</v>
      </c>
      <c r="R589" s="179" t="s">
        <v>993</v>
      </c>
    </row>
    <row r="590" spans="1:18" x14ac:dyDescent="0.15">
      <c r="A590" s="179" t="str">
        <f t="shared" si="16"/>
        <v>Cuautitlan Izcalli_Optimal Year Round_157.5</v>
      </c>
      <c r="B590" s="501" t="s">
        <v>1133</v>
      </c>
      <c r="C590" s="429">
        <v>20</v>
      </c>
      <c r="D590" s="429">
        <v>157.5</v>
      </c>
      <c r="E590" s="431">
        <v>5.64</v>
      </c>
      <c r="F590" s="431">
        <v>6.36</v>
      </c>
      <c r="G590" s="431">
        <v>6.71</v>
      </c>
      <c r="H590" s="431">
        <v>6.14</v>
      </c>
      <c r="I590" s="431">
        <v>5.65</v>
      </c>
      <c r="J590" s="431">
        <v>5.44</v>
      </c>
      <c r="K590" s="431">
        <v>5.31</v>
      </c>
      <c r="L590" s="431">
        <v>5.01</v>
      </c>
      <c r="M590" s="431">
        <v>4.8499999999999996</v>
      </c>
      <c r="N590" s="431">
        <v>5.21</v>
      </c>
      <c r="O590" s="431">
        <v>5.55</v>
      </c>
      <c r="P590" s="431">
        <v>5.17</v>
      </c>
      <c r="Q590" s="179">
        <f t="shared" si="17"/>
        <v>5.586666666666666</v>
      </c>
      <c r="R590" s="179" t="s">
        <v>993</v>
      </c>
    </row>
    <row r="591" spans="1:18" x14ac:dyDescent="0.15">
      <c r="A591" s="179" t="str">
        <f t="shared" si="16"/>
        <v>Cuautitlan Izcalli_Optimal Year Round_180</v>
      </c>
      <c r="B591" s="501" t="s">
        <v>1133</v>
      </c>
      <c r="C591" s="429">
        <v>20</v>
      </c>
      <c r="D591" s="429">
        <v>180</v>
      </c>
      <c r="E591" s="431">
        <v>5.78</v>
      </c>
      <c r="F591" s="431">
        <v>6.52</v>
      </c>
      <c r="G591" s="431">
        <v>6.88</v>
      </c>
      <c r="H591" s="431">
        <v>6.3</v>
      </c>
      <c r="I591" s="431">
        <v>5.79</v>
      </c>
      <c r="J591" s="431">
        <v>5.58</v>
      </c>
      <c r="K591" s="431">
        <v>5.45</v>
      </c>
      <c r="L591" s="431">
        <v>5.14</v>
      </c>
      <c r="M591" s="431">
        <v>4.97</v>
      </c>
      <c r="N591" s="431">
        <v>5.34</v>
      </c>
      <c r="O591" s="431">
        <v>5.69</v>
      </c>
      <c r="P591" s="431">
        <v>5.3</v>
      </c>
      <c r="Q591" s="179">
        <f t="shared" si="17"/>
        <v>5.7283333333333326</v>
      </c>
      <c r="R591" s="179" t="s">
        <v>993</v>
      </c>
    </row>
    <row r="592" spans="1:18" x14ac:dyDescent="0.15">
      <c r="A592" s="179" t="str">
        <f t="shared" si="16"/>
        <v>Cuautitlan Izcalli_Optimal Year Round_202.5</v>
      </c>
      <c r="B592" s="501" t="s">
        <v>1133</v>
      </c>
      <c r="C592" s="429">
        <v>20</v>
      </c>
      <c r="D592" s="429">
        <v>202.5</v>
      </c>
      <c r="E592" s="431">
        <v>5.64</v>
      </c>
      <c r="F592" s="431">
        <v>6.36</v>
      </c>
      <c r="G592" s="431">
        <v>6.71</v>
      </c>
      <c r="H592" s="431">
        <v>6.14</v>
      </c>
      <c r="I592" s="431">
        <v>5.65</v>
      </c>
      <c r="J592" s="431">
        <v>5.44</v>
      </c>
      <c r="K592" s="431">
        <v>5.31</v>
      </c>
      <c r="L592" s="431">
        <v>5.01</v>
      </c>
      <c r="M592" s="431">
        <v>4.8499999999999996</v>
      </c>
      <c r="N592" s="431">
        <v>5.21</v>
      </c>
      <c r="O592" s="431">
        <v>5.55</v>
      </c>
      <c r="P592" s="431">
        <v>5.17</v>
      </c>
      <c r="Q592" s="179">
        <f t="shared" si="17"/>
        <v>5.586666666666666</v>
      </c>
      <c r="R592" s="179" t="s">
        <v>993</v>
      </c>
    </row>
    <row r="593" spans="1:18" x14ac:dyDescent="0.15">
      <c r="A593" s="179" t="str">
        <f t="shared" si="16"/>
        <v>Cuautitlan Izcalli_Optimal Year Round_225</v>
      </c>
      <c r="B593" s="501" t="s">
        <v>1133</v>
      </c>
      <c r="C593" s="429">
        <v>20</v>
      </c>
      <c r="D593" s="429">
        <v>225</v>
      </c>
      <c r="E593" s="431">
        <v>5.49</v>
      </c>
      <c r="F593" s="431">
        <v>6.19</v>
      </c>
      <c r="G593" s="431">
        <v>6.54</v>
      </c>
      <c r="H593" s="431">
        <v>5.98</v>
      </c>
      <c r="I593" s="431">
        <v>5.5</v>
      </c>
      <c r="J593" s="431">
        <v>5.3</v>
      </c>
      <c r="K593" s="431">
        <v>5.18</v>
      </c>
      <c r="L593" s="431">
        <v>4.88</v>
      </c>
      <c r="M593" s="431">
        <v>4.72</v>
      </c>
      <c r="N593" s="431">
        <v>5.07</v>
      </c>
      <c r="O593" s="431">
        <v>5.41</v>
      </c>
      <c r="P593" s="431">
        <v>5.04</v>
      </c>
      <c r="Q593" s="179">
        <f t="shared" si="17"/>
        <v>5.4416666666666673</v>
      </c>
      <c r="R593" s="179" t="s">
        <v>993</v>
      </c>
    </row>
    <row r="594" spans="1:18" x14ac:dyDescent="0.15">
      <c r="A594" s="179" t="str">
        <f t="shared" si="16"/>
        <v>Cuautitlan Izcalli_Optimal Year Round_247.5</v>
      </c>
      <c r="B594" s="501" t="s">
        <v>1133</v>
      </c>
      <c r="C594" s="429">
        <v>20</v>
      </c>
      <c r="D594" s="429">
        <v>247.5</v>
      </c>
      <c r="E594" s="431">
        <v>5.0599999999999996</v>
      </c>
      <c r="F594" s="431">
        <v>5.7</v>
      </c>
      <c r="G594" s="431">
        <v>6.02</v>
      </c>
      <c r="H594" s="431">
        <v>5.51</v>
      </c>
      <c r="I594" s="431">
        <v>5.07</v>
      </c>
      <c r="J594" s="431">
        <v>4.88</v>
      </c>
      <c r="K594" s="431">
        <v>4.7699999999999996</v>
      </c>
      <c r="L594" s="431">
        <v>4.5</v>
      </c>
      <c r="M594" s="431">
        <v>4.3499999999999996</v>
      </c>
      <c r="N594" s="431">
        <v>4.67</v>
      </c>
      <c r="O594" s="431">
        <v>4.9800000000000004</v>
      </c>
      <c r="P594" s="431">
        <v>4.6399999999999997</v>
      </c>
      <c r="Q594" s="179">
        <f t="shared" si="17"/>
        <v>5.0125000000000002</v>
      </c>
      <c r="R594" s="179" t="s">
        <v>993</v>
      </c>
    </row>
    <row r="595" spans="1:18" x14ac:dyDescent="0.15">
      <c r="A595" s="179" t="str">
        <f t="shared" si="16"/>
        <v>Cuautitlan Izcalli_Optimal Year Round_270</v>
      </c>
      <c r="B595" s="501" t="s">
        <v>1133</v>
      </c>
      <c r="C595" s="429">
        <v>20</v>
      </c>
      <c r="D595" s="429">
        <v>270</v>
      </c>
      <c r="E595" s="431">
        <v>4.62</v>
      </c>
      <c r="F595" s="431">
        <v>5.22</v>
      </c>
      <c r="G595" s="431">
        <v>5.5</v>
      </c>
      <c r="H595" s="431">
        <v>5.04</v>
      </c>
      <c r="I595" s="431">
        <v>4.63</v>
      </c>
      <c r="J595" s="431">
        <v>4.46</v>
      </c>
      <c r="K595" s="431">
        <v>4.3600000000000003</v>
      </c>
      <c r="L595" s="431">
        <v>4.1100000000000003</v>
      </c>
      <c r="M595" s="431">
        <v>3.98</v>
      </c>
      <c r="N595" s="431">
        <v>4.2699999999999996</v>
      </c>
      <c r="O595" s="431">
        <v>4.55</v>
      </c>
      <c r="P595" s="431">
        <v>4.24</v>
      </c>
      <c r="Q595" s="179">
        <f t="shared" si="17"/>
        <v>4.5816666666666661</v>
      </c>
      <c r="R595" s="179" t="s">
        <v>993</v>
      </c>
    </row>
    <row r="596" spans="1:18" x14ac:dyDescent="0.15">
      <c r="A596" s="179" t="str">
        <f t="shared" si="16"/>
        <v>Cuernavaca_Flat Surface_90</v>
      </c>
      <c r="B596" s="501" t="s">
        <v>1134</v>
      </c>
      <c r="C596" s="429">
        <v>0</v>
      </c>
      <c r="D596" s="429">
        <v>90</v>
      </c>
      <c r="E596" s="431">
        <v>5.15</v>
      </c>
      <c r="F596" s="431">
        <v>6.05</v>
      </c>
      <c r="G596" s="431">
        <v>6.88</v>
      </c>
      <c r="H596" s="431">
        <v>6.94</v>
      </c>
      <c r="I596" s="431">
        <v>6.56</v>
      </c>
      <c r="J596" s="431">
        <v>5.98</v>
      </c>
      <c r="K596" s="431">
        <v>6.25</v>
      </c>
      <c r="L596" s="431">
        <v>5.88</v>
      </c>
      <c r="M596" s="431">
        <v>5.35</v>
      </c>
      <c r="N596" s="431">
        <v>5.32</v>
      </c>
      <c r="O596" s="431">
        <v>5.22</v>
      </c>
      <c r="P596" s="431">
        <v>4.8600000000000003</v>
      </c>
      <c r="Q596" s="179">
        <f t="shared" si="17"/>
        <v>5.870000000000001</v>
      </c>
      <c r="R596" s="179" t="s">
        <v>994</v>
      </c>
    </row>
    <row r="597" spans="1:18" x14ac:dyDescent="0.15">
      <c r="A597" s="179" t="str">
        <f t="shared" si="16"/>
        <v>Cuernavaca_Flat Surface_112.5</v>
      </c>
      <c r="B597" s="501" t="s">
        <v>1134</v>
      </c>
      <c r="C597" s="429">
        <v>0</v>
      </c>
      <c r="D597" s="429">
        <v>112.5</v>
      </c>
      <c r="E597" s="431">
        <v>5.15</v>
      </c>
      <c r="F597" s="431">
        <v>6.05</v>
      </c>
      <c r="G597" s="431">
        <v>6.88</v>
      </c>
      <c r="H597" s="431">
        <v>6.94</v>
      </c>
      <c r="I597" s="431">
        <v>6.56</v>
      </c>
      <c r="J597" s="431">
        <v>5.98</v>
      </c>
      <c r="K597" s="431">
        <v>6.25</v>
      </c>
      <c r="L597" s="431">
        <v>5.88</v>
      </c>
      <c r="M597" s="431">
        <v>5.35</v>
      </c>
      <c r="N597" s="431">
        <v>5.32</v>
      </c>
      <c r="O597" s="431">
        <v>5.22</v>
      </c>
      <c r="P597" s="431">
        <v>4.8600000000000003</v>
      </c>
      <c r="Q597" s="179">
        <f t="shared" si="17"/>
        <v>5.870000000000001</v>
      </c>
      <c r="R597" s="179" t="s">
        <v>994</v>
      </c>
    </row>
    <row r="598" spans="1:18" x14ac:dyDescent="0.15">
      <c r="A598" s="179" t="str">
        <f t="shared" si="16"/>
        <v>Cuernavaca_Flat Surface_135</v>
      </c>
      <c r="B598" s="501" t="s">
        <v>1134</v>
      </c>
      <c r="C598" s="429">
        <v>0</v>
      </c>
      <c r="D598" s="429">
        <v>135</v>
      </c>
      <c r="E598" s="431">
        <v>5.15</v>
      </c>
      <c r="F598" s="431">
        <v>6.05</v>
      </c>
      <c r="G598" s="431">
        <v>6.88</v>
      </c>
      <c r="H598" s="431">
        <v>6.94</v>
      </c>
      <c r="I598" s="431">
        <v>6.56</v>
      </c>
      <c r="J598" s="431">
        <v>5.98</v>
      </c>
      <c r="K598" s="431">
        <v>6.25</v>
      </c>
      <c r="L598" s="431">
        <v>5.88</v>
      </c>
      <c r="M598" s="431">
        <v>5.35</v>
      </c>
      <c r="N598" s="431">
        <v>5.32</v>
      </c>
      <c r="O598" s="431">
        <v>5.22</v>
      </c>
      <c r="P598" s="431">
        <v>4.8600000000000003</v>
      </c>
      <c r="Q598" s="179">
        <f t="shared" si="17"/>
        <v>5.870000000000001</v>
      </c>
      <c r="R598" s="179" t="s">
        <v>994</v>
      </c>
    </row>
    <row r="599" spans="1:18" x14ac:dyDescent="0.15">
      <c r="A599" s="179" t="str">
        <f t="shared" si="16"/>
        <v>Cuernavaca_Flat Surface_157.5</v>
      </c>
      <c r="B599" s="501" t="s">
        <v>1134</v>
      </c>
      <c r="C599" s="429">
        <v>0</v>
      </c>
      <c r="D599" s="429">
        <v>157.5</v>
      </c>
      <c r="E599" s="431">
        <v>5.15</v>
      </c>
      <c r="F599" s="431">
        <v>6.05</v>
      </c>
      <c r="G599" s="431">
        <v>6.88</v>
      </c>
      <c r="H599" s="431">
        <v>6.94</v>
      </c>
      <c r="I599" s="431">
        <v>6.56</v>
      </c>
      <c r="J599" s="431">
        <v>5.98</v>
      </c>
      <c r="K599" s="431">
        <v>6.25</v>
      </c>
      <c r="L599" s="431">
        <v>5.88</v>
      </c>
      <c r="M599" s="431">
        <v>5.35</v>
      </c>
      <c r="N599" s="431">
        <v>5.32</v>
      </c>
      <c r="O599" s="431">
        <v>5.22</v>
      </c>
      <c r="P599" s="431">
        <v>4.8600000000000003</v>
      </c>
      <c r="Q599" s="179">
        <f t="shared" si="17"/>
        <v>5.870000000000001</v>
      </c>
      <c r="R599" s="179" t="s">
        <v>994</v>
      </c>
    </row>
    <row r="600" spans="1:18" x14ac:dyDescent="0.15">
      <c r="A600" s="179" t="str">
        <f t="shared" si="16"/>
        <v>Cuernavaca_Flat Surface_180</v>
      </c>
      <c r="B600" s="501" t="s">
        <v>1134</v>
      </c>
      <c r="C600" s="429">
        <v>0</v>
      </c>
      <c r="D600" s="429">
        <v>180</v>
      </c>
      <c r="E600" s="431">
        <v>5.15</v>
      </c>
      <c r="F600" s="431">
        <v>6.05</v>
      </c>
      <c r="G600" s="431">
        <v>6.88</v>
      </c>
      <c r="H600" s="431">
        <v>6.94</v>
      </c>
      <c r="I600" s="431">
        <v>6.56</v>
      </c>
      <c r="J600" s="431">
        <v>5.98</v>
      </c>
      <c r="K600" s="431">
        <v>6.25</v>
      </c>
      <c r="L600" s="431">
        <v>5.88</v>
      </c>
      <c r="M600" s="431">
        <v>5.35</v>
      </c>
      <c r="N600" s="431">
        <v>5.32</v>
      </c>
      <c r="O600" s="431">
        <v>5.22</v>
      </c>
      <c r="P600" s="431">
        <v>4.8600000000000003</v>
      </c>
      <c r="Q600" s="179">
        <f t="shared" si="17"/>
        <v>5.870000000000001</v>
      </c>
      <c r="R600" s="179" t="s">
        <v>994</v>
      </c>
    </row>
    <row r="601" spans="1:18" x14ac:dyDescent="0.15">
      <c r="A601" s="179" t="str">
        <f t="shared" si="16"/>
        <v>Cuernavaca_Flat Surface_202.5</v>
      </c>
      <c r="B601" s="501" t="s">
        <v>1134</v>
      </c>
      <c r="C601" s="429">
        <v>0</v>
      </c>
      <c r="D601" s="429">
        <v>202.5</v>
      </c>
      <c r="E601" s="431">
        <v>5.15</v>
      </c>
      <c r="F601" s="431">
        <v>6.05</v>
      </c>
      <c r="G601" s="431">
        <v>6.88</v>
      </c>
      <c r="H601" s="431">
        <v>6.94</v>
      </c>
      <c r="I601" s="431">
        <v>6.56</v>
      </c>
      <c r="J601" s="431">
        <v>5.98</v>
      </c>
      <c r="K601" s="431">
        <v>6.25</v>
      </c>
      <c r="L601" s="431">
        <v>5.88</v>
      </c>
      <c r="M601" s="431">
        <v>5.35</v>
      </c>
      <c r="N601" s="431">
        <v>5.32</v>
      </c>
      <c r="O601" s="431">
        <v>5.22</v>
      </c>
      <c r="P601" s="431">
        <v>4.8600000000000003</v>
      </c>
      <c r="Q601" s="179">
        <f t="shared" si="17"/>
        <v>5.870000000000001</v>
      </c>
      <c r="R601" s="179" t="s">
        <v>994</v>
      </c>
    </row>
    <row r="602" spans="1:18" x14ac:dyDescent="0.15">
      <c r="A602" s="179" t="str">
        <f t="shared" si="16"/>
        <v>Cuernavaca_Flat Surface_225</v>
      </c>
      <c r="B602" s="501" t="s">
        <v>1134</v>
      </c>
      <c r="C602" s="429">
        <v>0</v>
      </c>
      <c r="D602" s="429">
        <v>225</v>
      </c>
      <c r="E602" s="431">
        <v>5.15</v>
      </c>
      <c r="F602" s="431">
        <v>6.05</v>
      </c>
      <c r="G602" s="431">
        <v>6.88</v>
      </c>
      <c r="H602" s="431">
        <v>6.94</v>
      </c>
      <c r="I602" s="431">
        <v>6.56</v>
      </c>
      <c r="J602" s="431">
        <v>5.98</v>
      </c>
      <c r="K602" s="431">
        <v>6.25</v>
      </c>
      <c r="L602" s="431">
        <v>5.88</v>
      </c>
      <c r="M602" s="431">
        <v>5.35</v>
      </c>
      <c r="N602" s="431">
        <v>5.32</v>
      </c>
      <c r="O602" s="431">
        <v>5.22</v>
      </c>
      <c r="P602" s="431">
        <v>4.8600000000000003</v>
      </c>
      <c r="Q602" s="179">
        <f t="shared" si="17"/>
        <v>5.870000000000001</v>
      </c>
      <c r="R602" s="179" t="s">
        <v>994</v>
      </c>
    </row>
    <row r="603" spans="1:18" x14ac:dyDescent="0.15">
      <c r="A603" s="179" t="str">
        <f t="shared" si="16"/>
        <v>Cuernavaca_Flat Surface_247.5</v>
      </c>
      <c r="B603" s="501" t="s">
        <v>1134</v>
      </c>
      <c r="C603" s="429">
        <v>0</v>
      </c>
      <c r="D603" s="429">
        <v>247.5</v>
      </c>
      <c r="E603" s="431">
        <v>5.15</v>
      </c>
      <c r="F603" s="431">
        <v>6.05</v>
      </c>
      <c r="G603" s="431">
        <v>6.88</v>
      </c>
      <c r="H603" s="431">
        <v>6.94</v>
      </c>
      <c r="I603" s="431">
        <v>6.56</v>
      </c>
      <c r="J603" s="431">
        <v>5.98</v>
      </c>
      <c r="K603" s="431">
        <v>6.25</v>
      </c>
      <c r="L603" s="431">
        <v>5.88</v>
      </c>
      <c r="M603" s="431">
        <v>5.35</v>
      </c>
      <c r="N603" s="431">
        <v>5.32</v>
      </c>
      <c r="O603" s="431">
        <v>5.22</v>
      </c>
      <c r="P603" s="431">
        <v>4.8600000000000003</v>
      </c>
      <c r="Q603" s="179">
        <f t="shared" si="17"/>
        <v>5.870000000000001</v>
      </c>
      <c r="R603" s="179" t="s">
        <v>994</v>
      </c>
    </row>
    <row r="604" spans="1:18" x14ac:dyDescent="0.15">
      <c r="A604" s="179" t="str">
        <f t="shared" si="16"/>
        <v>Cuernavaca_Flat Surface_270</v>
      </c>
      <c r="B604" s="501" t="s">
        <v>1134</v>
      </c>
      <c r="C604" s="429">
        <v>0</v>
      </c>
      <c r="D604" s="429">
        <v>270</v>
      </c>
      <c r="E604" s="431">
        <v>5.15</v>
      </c>
      <c r="F604" s="431">
        <v>6.05</v>
      </c>
      <c r="G604" s="431">
        <v>6.88</v>
      </c>
      <c r="H604" s="431">
        <v>6.94</v>
      </c>
      <c r="I604" s="431">
        <v>6.56</v>
      </c>
      <c r="J604" s="431">
        <v>5.98</v>
      </c>
      <c r="K604" s="431">
        <v>6.25</v>
      </c>
      <c r="L604" s="431">
        <v>5.88</v>
      </c>
      <c r="M604" s="431">
        <v>5.35</v>
      </c>
      <c r="N604" s="431">
        <v>5.32</v>
      </c>
      <c r="O604" s="431">
        <v>5.22</v>
      </c>
      <c r="P604" s="431">
        <v>4.8600000000000003</v>
      </c>
      <c r="Q604" s="179">
        <f t="shared" si="17"/>
        <v>5.870000000000001</v>
      </c>
      <c r="R604" s="179" t="s">
        <v>994</v>
      </c>
    </row>
    <row r="605" spans="1:18" x14ac:dyDescent="0.15">
      <c r="A605" s="179" t="str">
        <f t="shared" si="16"/>
        <v>Cuernavaca_Optimal Summer_90</v>
      </c>
      <c r="B605" s="501" t="s">
        <v>1134</v>
      </c>
      <c r="C605" s="429">
        <v>4</v>
      </c>
      <c r="D605" s="429">
        <v>90</v>
      </c>
      <c r="E605" s="431">
        <v>4.3</v>
      </c>
      <c r="F605" s="431">
        <v>4.9800000000000004</v>
      </c>
      <c r="G605" s="431">
        <v>5.59</v>
      </c>
      <c r="H605" s="431">
        <v>5.57</v>
      </c>
      <c r="I605" s="431">
        <v>5.22</v>
      </c>
      <c r="J605" s="431">
        <v>4.82</v>
      </c>
      <c r="K605" s="431">
        <v>5.0199999999999996</v>
      </c>
      <c r="L605" s="431">
        <v>4.7</v>
      </c>
      <c r="M605" s="431">
        <v>4.32</v>
      </c>
      <c r="N605" s="431">
        <v>4.34</v>
      </c>
      <c r="O605" s="431">
        <v>4.34</v>
      </c>
      <c r="P605" s="431">
        <v>4.07</v>
      </c>
      <c r="Q605" s="179">
        <f t="shared" si="17"/>
        <v>4.7725</v>
      </c>
      <c r="R605" s="179" t="s">
        <v>958</v>
      </c>
    </row>
    <row r="606" spans="1:18" x14ac:dyDescent="0.15">
      <c r="A606" s="179" t="str">
        <f t="shared" si="16"/>
        <v>Cuernavaca_Optimal Summer_112.5</v>
      </c>
      <c r="B606" s="501" t="s">
        <v>1134</v>
      </c>
      <c r="C606" s="429">
        <v>4</v>
      </c>
      <c r="D606" s="429">
        <v>112.5</v>
      </c>
      <c r="E606" s="431">
        <v>4.7</v>
      </c>
      <c r="F606" s="431">
        <v>5.45</v>
      </c>
      <c r="G606" s="431">
        <v>6.12</v>
      </c>
      <c r="H606" s="431">
        <v>6.09</v>
      </c>
      <c r="I606" s="431">
        <v>5.71</v>
      </c>
      <c r="J606" s="431">
        <v>5.27</v>
      </c>
      <c r="K606" s="431">
        <v>5.5</v>
      </c>
      <c r="L606" s="431">
        <v>5.14</v>
      </c>
      <c r="M606" s="431">
        <v>4.72</v>
      </c>
      <c r="N606" s="431">
        <v>4.75</v>
      </c>
      <c r="O606" s="431">
        <v>4.74</v>
      </c>
      <c r="P606" s="431">
        <v>4.45</v>
      </c>
      <c r="Q606" s="179">
        <f t="shared" si="17"/>
        <v>5.2200000000000006</v>
      </c>
      <c r="R606" s="179" t="s">
        <v>958</v>
      </c>
    </row>
    <row r="607" spans="1:18" x14ac:dyDescent="0.15">
      <c r="A607" s="179" t="str">
        <f t="shared" si="16"/>
        <v>Cuernavaca_Optimal Summer_135</v>
      </c>
      <c r="B607" s="501" t="s">
        <v>1134</v>
      </c>
      <c r="C607" s="429">
        <v>4</v>
      </c>
      <c r="D607" s="429">
        <v>135</v>
      </c>
      <c r="E607" s="431">
        <v>5.0999999999999996</v>
      </c>
      <c r="F607" s="431">
        <v>5.92</v>
      </c>
      <c r="G607" s="431">
        <v>6.64</v>
      </c>
      <c r="H607" s="431">
        <v>6.61</v>
      </c>
      <c r="I607" s="431">
        <v>6.2</v>
      </c>
      <c r="J607" s="431">
        <v>5.72</v>
      </c>
      <c r="K607" s="431">
        <v>5.97</v>
      </c>
      <c r="L607" s="431">
        <v>5.59</v>
      </c>
      <c r="M607" s="431">
        <v>5.13</v>
      </c>
      <c r="N607" s="431">
        <v>5.16</v>
      </c>
      <c r="O607" s="431">
        <v>5.15</v>
      </c>
      <c r="P607" s="431">
        <v>4.84</v>
      </c>
      <c r="Q607" s="179">
        <f t="shared" si="17"/>
        <v>5.6691666666666665</v>
      </c>
      <c r="R607" s="179" t="s">
        <v>958</v>
      </c>
    </row>
    <row r="608" spans="1:18" x14ac:dyDescent="0.15">
      <c r="A608" s="179" t="str">
        <f t="shared" si="16"/>
        <v>Cuernavaca_Optimal Summer_157.5</v>
      </c>
      <c r="B608" s="501" t="s">
        <v>1134</v>
      </c>
      <c r="C608" s="429">
        <v>4</v>
      </c>
      <c r="D608" s="429">
        <v>157.5</v>
      </c>
      <c r="E608" s="431">
        <v>5.24</v>
      </c>
      <c r="F608" s="431">
        <v>6.07</v>
      </c>
      <c r="G608" s="431">
        <v>6.82</v>
      </c>
      <c r="H608" s="431">
        <v>6.79</v>
      </c>
      <c r="I608" s="431">
        <v>6.37</v>
      </c>
      <c r="J608" s="431">
        <v>5.87</v>
      </c>
      <c r="K608" s="431">
        <v>6.12</v>
      </c>
      <c r="L608" s="431">
        <v>5.73</v>
      </c>
      <c r="M608" s="431">
        <v>5.26</v>
      </c>
      <c r="N608" s="431">
        <v>5.29</v>
      </c>
      <c r="O608" s="431">
        <v>5.28</v>
      </c>
      <c r="P608" s="431">
        <v>4.96</v>
      </c>
      <c r="Q608" s="179">
        <f t="shared" si="17"/>
        <v>5.8166666666666664</v>
      </c>
      <c r="R608" s="179" t="s">
        <v>958</v>
      </c>
    </row>
    <row r="609" spans="1:18" x14ac:dyDescent="0.15">
      <c r="A609" s="179" t="str">
        <f t="shared" si="16"/>
        <v>Cuernavaca_Optimal Summer_180</v>
      </c>
      <c r="B609" s="501" t="s">
        <v>1134</v>
      </c>
      <c r="C609" s="429">
        <v>4</v>
      </c>
      <c r="D609" s="429">
        <v>180</v>
      </c>
      <c r="E609" s="431">
        <v>5.37</v>
      </c>
      <c r="F609" s="431">
        <v>6.23</v>
      </c>
      <c r="G609" s="431">
        <v>6.99</v>
      </c>
      <c r="H609" s="431">
        <v>6.96</v>
      </c>
      <c r="I609" s="431">
        <v>6.53</v>
      </c>
      <c r="J609" s="431">
        <v>6.02</v>
      </c>
      <c r="K609" s="431">
        <v>6.28</v>
      </c>
      <c r="L609" s="431">
        <v>5.88</v>
      </c>
      <c r="M609" s="431">
        <v>5.4</v>
      </c>
      <c r="N609" s="431">
        <v>5.43</v>
      </c>
      <c r="O609" s="431">
        <v>5.42</v>
      </c>
      <c r="P609" s="431">
        <v>5.09</v>
      </c>
      <c r="Q609" s="179">
        <f t="shared" si="17"/>
        <v>5.9666666666666677</v>
      </c>
      <c r="R609" s="179" t="s">
        <v>958</v>
      </c>
    </row>
    <row r="610" spans="1:18" x14ac:dyDescent="0.15">
      <c r="A610" s="179" t="str">
        <f t="shared" si="16"/>
        <v>Cuernavaca_Optimal Summer_202.5</v>
      </c>
      <c r="B610" s="501" t="s">
        <v>1134</v>
      </c>
      <c r="C610" s="429">
        <v>4</v>
      </c>
      <c r="D610" s="429">
        <v>202.5</v>
      </c>
      <c r="E610" s="431">
        <v>5.24</v>
      </c>
      <c r="F610" s="431">
        <v>6.07</v>
      </c>
      <c r="G610" s="431">
        <v>6.82</v>
      </c>
      <c r="H610" s="431">
        <v>6.79</v>
      </c>
      <c r="I610" s="431">
        <v>6.37</v>
      </c>
      <c r="J610" s="431">
        <v>5.87</v>
      </c>
      <c r="K610" s="431">
        <v>6.12</v>
      </c>
      <c r="L610" s="431">
        <v>5.73</v>
      </c>
      <c r="M610" s="431">
        <v>5.26</v>
      </c>
      <c r="N610" s="431">
        <v>5.29</v>
      </c>
      <c r="O610" s="431">
        <v>5.28</v>
      </c>
      <c r="P610" s="431">
        <v>4.96</v>
      </c>
      <c r="Q610" s="179">
        <f t="shared" si="17"/>
        <v>5.8166666666666664</v>
      </c>
      <c r="R610" s="179" t="s">
        <v>958</v>
      </c>
    </row>
    <row r="611" spans="1:18" x14ac:dyDescent="0.15">
      <c r="A611" s="179" t="str">
        <f t="shared" si="16"/>
        <v>Cuernavaca_Optimal Summer_225</v>
      </c>
      <c r="B611" s="501" t="s">
        <v>1134</v>
      </c>
      <c r="C611" s="429">
        <v>4</v>
      </c>
      <c r="D611" s="429">
        <v>225</v>
      </c>
      <c r="E611" s="431">
        <v>5.0999999999999996</v>
      </c>
      <c r="F611" s="431">
        <v>5.92</v>
      </c>
      <c r="G611" s="431">
        <v>6.64</v>
      </c>
      <c r="H611" s="431">
        <v>6.61</v>
      </c>
      <c r="I611" s="431">
        <v>6.2</v>
      </c>
      <c r="J611" s="431">
        <v>5.72</v>
      </c>
      <c r="K611" s="431">
        <v>5.97</v>
      </c>
      <c r="L611" s="431">
        <v>5.59</v>
      </c>
      <c r="M611" s="431">
        <v>5.13</v>
      </c>
      <c r="N611" s="431">
        <v>5.16</v>
      </c>
      <c r="O611" s="431">
        <v>5.15</v>
      </c>
      <c r="P611" s="431">
        <v>4.84</v>
      </c>
      <c r="Q611" s="179">
        <f t="shared" si="17"/>
        <v>5.6691666666666665</v>
      </c>
      <c r="R611" s="179" t="s">
        <v>958</v>
      </c>
    </row>
    <row r="612" spans="1:18" x14ac:dyDescent="0.15">
      <c r="A612" s="179" t="str">
        <f t="shared" si="16"/>
        <v>Cuernavaca_Optimal Summer_247.5</v>
      </c>
      <c r="B612" s="501" t="s">
        <v>1134</v>
      </c>
      <c r="C612" s="429">
        <v>4</v>
      </c>
      <c r="D612" s="429">
        <v>247.5</v>
      </c>
      <c r="E612" s="431">
        <v>4.7</v>
      </c>
      <c r="F612" s="431">
        <v>5.45</v>
      </c>
      <c r="G612" s="431">
        <v>6.12</v>
      </c>
      <c r="H612" s="431">
        <v>6.09</v>
      </c>
      <c r="I612" s="431">
        <v>5.71</v>
      </c>
      <c r="J612" s="431">
        <v>5.27</v>
      </c>
      <c r="K612" s="431">
        <v>5.5</v>
      </c>
      <c r="L612" s="431">
        <v>5.14</v>
      </c>
      <c r="M612" s="431">
        <v>4.72</v>
      </c>
      <c r="N612" s="431">
        <v>4.75</v>
      </c>
      <c r="O612" s="431">
        <v>4.74</v>
      </c>
      <c r="P612" s="431">
        <v>4.45</v>
      </c>
      <c r="Q612" s="179">
        <f t="shared" si="17"/>
        <v>5.2200000000000006</v>
      </c>
      <c r="R612" s="179" t="s">
        <v>958</v>
      </c>
    </row>
    <row r="613" spans="1:18" x14ac:dyDescent="0.15">
      <c r="A613" s="179" t="str">
        <f t="shared" si="16"/>
        <v>Cuernavaca_Optimal Summer_270</v>
      </c>
      <c r="B613" s="501" t="s">
        <v>1134</v>
      </c>
      <c r="C613" s="429">
        <v>4</v>
      </c>
      <c r="D613" s="429">
        <v>270</v>
      </c>
      <c r="E613" s="431">
        <v>4.3</v>
      </c>
      <c r="F613" s="431">
        <v>4.9800000000000004</v>
      </c>
      <c r="G613" s="431">
        <v>5.59</v>
      </c>
      <c r="H613" s="431">
        <v>5.57</v>
      </c>
      <c r="I613" s="431">
        <v>5.22</v>
      </c>
      <c r="J613" s="431">
        <v>4.82</v>
      </c>
      <c r="K613" s="431">
        <v>5.0199999999999996</v>
      </c>
      <c r="L613" s="431">
        <v>4.7</v>
      </c>
      <c r="M613" s="431">
        <v>4.32</v>
      </c>
      <c r="N613" s="431">
        <v>4.34</v>
      </c>
      <c r="O613" s="431">
        <v>4.34</v>
      </c>
      <c r="P613" s="431">
        <v>4.07</v>
      </c>
      <c r="Q613" s="179">
        <f t="shared" si="17"/>
        <v>4.7725</v>
      </c>
      <c r="R613" s="179" t="s">
        <v>958</v>
      </c>
    </row>
    <row r="614" spans="1:18" x14ac:dyDescent="0.15">
      <c r="A614" s="179" t="str">
        <f t="shared" si="16"/>
        <v>Cuernavaca_Optimal Year Round_90</v>
      </c>
      <c r="B614" s="501" t="s">
        <v>1134</v>
      </c>
      <c r="C614" s="429">
        <v>19</v>
      </c>
      <c r="D614" s="429">
        <v>90</v>
      </c>
      <c r="E614" s="431">
        <v>5.0199999999999996</v>
      </c>
      <c r="F614" s="431">
        <v>5.54</v>
      </c>
      <c r="G614" s="431">
        <v>5.85</v>
      </c>
      <c r="H614" s="431">
        <v>5.47</v>
      </c>
      <c r="I614" s="431">
        <v>4.92</v>
      </c>
      <c r="J614" s="431">
        <v>4.82</v>
      </c>
      <c r="K614" s="431">
        <v>5.0199999999999996</v>
      </c>
      <c r="L614" s="431">
        <v>4.55</v>
      </c>
      <c r="M614" s="431">
        <v>4.37</v>
      </c>
      <c r="N614" s="431">
        <v>4.66</v>
      </c>
      <c r="O614" s="431">
        <v>4.9800000000000004</v>
      </c>
      <c r="P614" s="431">
        <v>4.82</v>
      </c>
      <c r="Q614" s="179">
        <f t="shared" si="17"/>
        <v>5.0016666666666669</v>
      </c>
      <c r="R614" s="179" t="s">
        <v>993</v>
      </c>
    </row>
    <row r="615" spans="1:18" x14ac:dyDescent="0.15">
      <c r="A615" s="179" t="str">
        <f t="shared" si="16"/>
        <v>Cuernavaca_Optimal Year Round_112.5</v>
      </c>
      <c r="B615" s="501" t="s">
        <v>1134</v>
      </c>
      <c r="C615" s="429">
        <v>19</v>
      </c>
      <c r="D615" s="429">
        <v>112.5</v>
      </c>
      <c r="E615" s="431">
        <v>5.49</v>
      </c>
      <c r="F615" s="431">
        <v>6.06</v>
      </c>
      <c r="G615" s="431">
        <v>6.4</v>
      </c>
      <c r="H615" s="431">
        <v>5.98</v>
      </c>
      <c r="I615" s="431">
        <v>5.38</v>
      </c>
      <c r="J615" s="431">
        <v>5.28</v>
      </c>
      <c r="K615" s="431">
        <v>5.49</v>
      </c>
      <c r="L615" s="431">
        <v>4.9800000000000004</v>
      </c>
      <c r="M615" s="431">
        <v>4.78</v>
      </c>
      <c r="N615" s="431">
        <v>5.0999999999999996</v>
      </c>
      <c r="O615" s="431">
        <v>5.45</v>
      </c>
      <c r="P615" s="431">
        <v>5.28</v>
      </c>
      <c r="Q615" s="179">
        <f t="shared" si="17"/>
        <v>5.4725000000000001</v>
      </c>
      <c r="R615" s="179" t="s">
        <v>993</v>
      </c>
    </row>
    <row r="616" spans="1:18" x14ac:dyDescent="0.15">
      <c r="A616" s="179" t="str">
        <f t="shared" si="16"/>
        <v>Cuernavaca_Optimal Year Round_135</v>
      </c>
      <c r="B616" s="501" t="s">
        <v>1134</v>
      </c>
      <c r="C616" s="429">
        <v>19</v>
      </c>
      <c r="D616" s="429">
        <v>135</v>
      </c>
      <c r="E616" s="431">
        <v>5.96</v>
      </c>
      <c r="F616" s="431">
        <v>6.57</v>
      </c>
      <c r="G616" s="431">
        <v>6.94</v>
      </c>
      <c r="H616" s="431">
        <v>6.5</v>
      </c>
      <c r="I616" s="431">
        <v>5.84</v>
      </c>
      <c r="J616" s="431">
        <v>5.73</v>
      </c>
      <c r="K616" s="431">
        <v>5.96</v>
      </c>
      <c r="L616" s="431">
        <v>5.41</v>
      </c>
      <c r="M616" s="431">
        <v>5.19</v>
      </c>
      <c r="N616" s="431">
        <v>5.54</v>
      </c>
      <c r="O616" s="431">
        <v>5.92</v>
      </c>
      <c r="P616" s="431">
        <v>5.73</v>
      </c>
      <c r="Q616" s="179">
        <f t="shared" si="17"/>
        <v>5.9408333333333339</v>
      </c>
      <c r="R616" s="179" t="s">
        <v>993</v>
      </c>
    </row>
    <row r="617" spans="1:18" x14ac:dyDescent="0.15">
      <c r="A617" s="179" t="str">
        <f t="shared" si="16"/>
        <v>Cuernavaca_Optimal Year Round_157.5</v>
      </c>
      <c r="B617" s="501" t="s">
        <v>1134</v>
      </c>
      <c r="C617" s="429">
        <v>19</v>
      </c>
      <c r="D617" s="429">
        <v>157.5</v>
      </c>
      <c r="E617" s="431">
        <v>6.11</v>
      </c>
      <c r="F617" s="431">
        <v>6.75</v>
      </c>
      <c r="G617" s="431">
        <v>7.13</v>
      </c>
      <c r="H617" s="431">
        <v>6.67</v>
      </c>
      <c r="I617" s="431">
        <v>6</v>
      </c>
      <c r="J617" s="431">
        <v>5.88</v>
      </c>
      <c r="K617" s="431">
        <v>6.11</v>
      </c>
      <c r="L617" s="431">
        <v>5.55</v>
      </c>
      <c r="M617" s="431">
        <v>5.32</v>
      </c>
      <c r="N617" s="431">
        <v>5.68</v>
      </c>
      <c r="O617" s="431">
        <v>6.07</v>
      </c>
      <c r="P617" s="431">
        <v>5.88</v>
      </c>
      <c r="Q617" s="179">
        <f t="shared" si="17"/>
        <v>6.0958333333333323</v>
      </c>
      <c r="R617" s="179" t="s">
        <v>993</v>
      </c>
    </row>
    <row r="618" spans="1:18" x14ac:dyDescent="0.15">
      <c r="A618" s="179" t="str">
        <f t="shared" si="16"/>
        <v>Cuernavaca_Optimal Year Round_180</v>
      </c>
      <c r="B618" s="501" t="s">
        <v>1134</v>
      </c>
      <c r="C618" s="429">
        <v>19</v>
      </c>
      <c r="D618" s="429">
        <v>180</v>
      </c>
      <c r="E618" s="431">
        <v>6.27</v>
      </c>
      <c r="F618" s="431">
        <v>6.92</v>
      </c>
      <c r="G618" s="431">
        <v>7.31</v>
      </c>
      <c r="H618" s="431">
        <v>6.84</v>
      </c>
      <c r="I618" s="431">
        <v>6.15</v>
      </c>
      <c r="J618" s="431">
        <v>6.03</v>
      </c>
      <c r="K618" s="431">
        <v>6.27</v>
      </c>
      <c r="L618" s="431">
        <v>5.69</v>
      </c>
      <c r="M618" s="431">
        <v>5.46</v>
      </c>
      <c r="N618" s="431">
        <v>5.83</v>
      </c>
      <c r="O618" s="431">
        <v>6.23</v>
      </c>
      <c r="P618" s="431">
        <v>6.03</v>
      </c>
      <c r="Q618" s="179">
        <f t="shared" si="17"/>
        <v>6.2525000000000004</v>
      </c>
      <c r="R618" s="179" t="s">
        <v>993</v>
      </c>
    </row>
    <row r="619" spans="1:18" x14ac:dyDescent="0.15">
      <c r="A619" s="179" t="str">
        <f t="shared" si="16"/>
        <v>Cuernavaca_Optimal Year Round_202.5</v>
      </c>
      <c r="B619" s="501" t="s">
        <v>1134</v>
      </c>
      <c r="C619" s="429">
        <v>19</v>
      </c>
      <c r="D619" s="429">
        <v>202.5</v>
      </c>
      <c r="E619" s="431">
        <v>6.11</v>
      </c>
      <c r="F619" s="431">
        <v>6.75</v>
      </c>
      <c r="G619" s="431">
        <v>7.13</v>
      </c>
      <c r="H619" s="431">
        <v>6.67</v>
      </c>
      <c r="I619" s="431">
        <v>6</v>
      </c>
      <c r="J619" s="431">
        <v>5.88</v>
      </c>
      <c r="K619" s="431">
        <v>6.11</v>
      </c>
      <c r="L619" s="431">
        <v>5.55</v>
      </c>
      <c r="M619" s="431">
        <v>5.32</v>
      </c>
      <c r="N619" s="431">
        <v>5.68</v>
      </c>
      <c r="O619" s="431">
        <v>6.07</v>
      </c>
      <c r="P619" s="431">
        <v>5.88</v>
      </c>
      <c r="Q619" s="179">
        <f t="shared" si="17"/>
        <v>6.0958333333333323</v>
      </c>
      <c r="R619" s="179" t="s">
        <v>993</v>
      </c>
    </row>
    <row r="620" spans="1:18" x14ac:dyDescent="0.15">
      <c r="A620" s="179" t="str">
        <f t="shared" si="16"/>
        <v>Cuernavaca_Optimal Year Round_225</v>
      </c>
      <c r="B620" s="501" t="s">
        <v>1134</v>
      </c>
      <c r="C620" s="429">
        <v>19</v>
      </c>
      <c r="D620" s="429">
        <v>225</v>
      </c>
      <c r="E620" s="431">
        <v>5.96</v>
      </c>
      <c r="F620" s="431">
        <v>6.57</v>
      </c>
      <c r="G620" s="431">
        <v>6.94</v>
      </c>
      <c r="H620" s="431">
        <v>6.5</v>
      </c>
      <c r="I620" s="431">
        <v>5.84</v>
      </c>
      <c r="J620" s="431">
        <v>5.73</v>
      </c>
      <c r="K620" s="431">
        <v>5.96</v>
      </c>
      <c r="L620" s="431">
        <v>5.41</v>
      </c>
      <c r="M620" s="431">
        <v>5.19</v>
      </c>
      <c r="N620" s="431">
        <v>5.54</v>
      </c>
      <c r="O620" s="431">
        <v>5.92</v>
      </c>
      <c r="P620" s="431">
        <v>5.73</v>
      </c>
      <c r="Q620" s="179">
        <f t="shared" si="17"/>
        <v>5.9408333333333339</v>
      </c>
      <c r="R620" s="179" t="s">
        <v>993</v>
      </c>
    </row>
    <row r="621" spans="1:18" x14ac:dyDescent="0.15">
      <c r="A621" s="179" t="str">
        <f t="shared" si="16"/>
        <v>Cuernavaca_Optimal Year Round_247.5</v>
      </c>
      <c r="B621" s="501" t="s">
        <v>1134</v>
      </c>
      <c r="C621" s="429">
        <v>19</v>
      </c>
      <c r="D621" s="429">
        <v>247.5</v>
      </c>
      <c r="E621" s="431">
        <v>5.49</v>
      </c>
      <c r="F621" s="431">
        <v>6.06</v>
      </c>
      <c r="G621" s="431">
        <v>6.4</v>
      </c>
      <c r="H621" s="431">
        <v>5.98</v>
      </c>
      <c r="I621" s="431">
        <v>5.38</v>
      </c>
      <c r="J621" s="431">
        <v>5.28</v>
      </c>
      <c r="K621" s="431">
        <v>5.49</v>
      </c>
      <c r="L621" s="431">
        <v>4.9800000000000004</v>
      </c>
      <c r="M621" s="431">
        <v>4.78</v>
      </c>
      <c r="N621" s="431">
        <v>5.0999999999999996</v>
      </c>
      <c r="O621" s="431">
        <v>5.45</v>
      </c>
      <c r="P621" s="431">
        <v>5.28</v>
      </c>
      <c r="Q621" s="179">
        <f t="shared" si="17"/>
        <v>5.4725000000000001</v>
      </c>
      <c r="R621" s="179" t="s">
        <v>993</v>
      </c>
    </row>
    <row r="622" spans="1:18" x14ac:dyDescent="0.15">
      <c r="A622" s="179" t="str">
        <f t="shared" si="16"/>
        <v>Cuernavaca_Optimal Year Round_270</v>
      </c>
      <c r="B622" s="501" t="s">
        <v>1134</v>
      </c>
      <c r="C622" s="429">
        <v>19</v>
      </c>
      <c r="D622" s="429">
        <v>270</v>
      </c>
      <c r="E622" s="431">
        <v>5.0199999999999996</v>
      </c>
      <c r="F622" s="431">
        <v>5.54</v>
      </c>
      <c r="G622" s="431">
        <v>5.85</v>
      </c>
      <c r="H622" s="431">
        <v>5.47</v>
      </c>
      <c r="I622" s="431">
        <v>4.92</v>
      </c>
      <c r="J622" s="431">
        <v>4.82</v>
      </c>
      <c r="K622" s="431">
        <v>5.0199999999999996</v>
      </c>
      <c r="L622" s="431">
        <v>4.55</v>
      </c>
      <c r="M622" s="431">
        <v>4.37</v>
      </c>
      <c r="N622" s="431">
        <v>4.66</v>
      </c>
      <c r="O622" s="431">
        <v>4.9800000000000004</v>
      </c>
      <c r="P622" s="431">
        <v>4.82</v>
      </c>
      <c r="Q622" s="179">
        <f t="shared" si="17"/>
        <v>5.0016666666666669</v>
      </c>
      <c r="R622" s="179" t="s">
        <v>993</v>
      </c>
    </row>
    <row r="623" spans="1:18" x14ac:dyDescent="0.15">
      <c r="A623" s="179" t="str">
        <f t="shared" si="16"/>
        <v>Culiacan_Flat Surface_90</v>
      </c>
      <c r="B623" s="501" t="s">
        <v>1135</v>
      </c>
      <c r="C623" s="429">
        <v>0</v>
      </c>
      <c r="D623" s="429">
        <v>90</v>
      </c>
      <c r="E623" s="431">
        <v>4.2300000000000004</v>
      </c>
      <c r="F623" s="431">
        <v>5.21</v>
      </c>
      <c r="G623" s="431">
        <v>6.47</v>
      </c>
      <c r="H623" s="431">
        <v>7.14</v>
      </c>
      <c r="I623" s="431">
        <v>7.87</v>
      </c>
      <c r="J623" s="431">
        <v>7.65</v>
      </c>
      <c r="K623" s="431">
        <v>6.68</v>
      </c>
      <c r="L623" s="431">
        <v>6.06</v>
      </c>
      <c r="M623" s="431">
        <v>5.6</v>
      </c>
      <c r="N623" s="431">
        <v>5.42</v>
      </c>
      <c r="O623" s="431">
        <v>4.4800000000000004</v>
      </c>
      <c r="P623" s="431">
        <v>3.89</v>
      </c>
      <c r="Q623" s="179">
        <f t="shared" si="17"/>
        <v>5.8916666666666666</v>
      </c>
      <c r="R623" s="179" t="s">
        <v>994</v>
      </c>
    </row>
    <row r="624" spans="1:18" x14ac:dyDescent="0.15">
      <c r="A624" s="179" t="str">
        <f t="shared" si="16"/>
        <v>Culiacan_Flat Surface_112.5</v>
      </c>
      <c r="B624" s="501" t="s">
        <v>1135</v>
      </c>
      <c r="C624" s="429">
        <v>0</v>
      </c>
      <c r="D624" s="429">
        <v>112.5</v>
      </c>
      <c r="E624" s="431">
        <v>4.2300000000000004</v>
      </c>
      <c r="F624" s="431">
        <v>5.21</v>
      </c>
      <c r="G624" s="431">
        <v>6.47</v>
      </c>
      <c r="H624" s="431">
        <v>7.14</v>
      </c>
      <c r="I624" s="431">
        <v>7.87</v>
      </c>
      <c r="J624" s="431">
        <v>7.65</v>
      </c>
      <c r="K624" s="431">
        <v>6.68</v>
      </c>
      <c r="L624" s="431">
        <v>6.06</v>
      </c>
      <c r="M624" s="431">
        <v>5.6</v>
      </c>
      <c r="N624" s="431">
        <v>5.42</v>
      </c>
      <c r="O624" s="431">
        <v>4.4800000000000004</v>
      </c>
      <c r="P624" s="431">
        <v>3.89</v>
      </c>
      <c r="Q624" s="179">
        <f t="shared" si="17"/>
        <v>5.8916666666666666</v>
      </c>
      <c r="R624" s="179" t="s">
        <v>994</v>
      </c>
    </row>
    <row r="625" spans="1:18" x14ac:dyDescent="0.15">
      <c r="A625" s="179" t="str">
        <f t="shared" si="16"/>
        <v>Culiacan_Flat Surface_135</v>
      </c>
      <c r="B625" s="501" t="s">
        <v>1135</v>
      </c>
      <c r="C625" s="429">
        <v>0</v>
      </c>
      <c r="D625" s="429">
        <v>135</v>
      </c>
      <c r="E625" s="431">
        <v>4.2300000000000004</v>
      </c>
      <c r="F625" s="431">
        <v>5.21</v>
      </c>
      <c r="G625" s="431">
        <v>6.47</v>
      </c>
      <c r="H625" s="431">
        <v>7.14</v>
      </c>
      <c r="I625" s="431">
        <v>7.87</v>
      </c>
      <c r="J625" s="431">
        <v>7.65</v>
      </c>
      <c r="K625" s="431">
        <v>6.68</v>
      </c>
      <c r="L625" s="431">
        <v>6.06</v>
      </c>
      <c r="M625" s="431">
        <v>5.6</v>
      </c>
      <c r="N625" s="431">
        <v>5.42</v>
      </c>
      <c r="O625" s="431">
        <v>4.4800000000000004</v>
      </c>
      <c r="P625" s="431">
        <v>3.89</v>
      </c>
      <c r="Q625" s="179">
        <f t="shared" si="17"/>
        <v>5.8916666666666666</v>
      </c>
      <c r="R625" s="179" t="s">
        <v>994</v>
      </c>
    </row>
    <row r="626" spans="1:18" x14ac:dyDescent="0.15">
      <c r="A626" s="179" t="str">
        <f t="shared" si="16"/>
        <v>Culiacan_Flat Surface_157.5</v>
      </c>
      <c r="B626" s="501" t="s">
        <v>1135</v>
      </c>
      <c r="C626" s="429">
        <v>0</v>
      </c>
      <c r="D626" s="429">
        <v>157.5</v>
      </c>
      <c r="E626" s="431">
        <v>4.2300000000000004</v>
      </c>
      <c r="F626" s="431">
        <v>5.21</v>
      </c>
      <c r="G626" s="431">
        <v>6.47</v>
      </c>
      <c r="H626" s="431">
        <v>7.14</v>
      </c>
      <c r="I626" s="431">
        <v>7.87</v>
      </c>
      <c r="J626" s="431">
        <v>7.65</v>
      </c>
      <c r="K626" s="431">
        <v>6.68</v>
      </c>
      <c r="L626" s="431">
        <v>6.06</v>
      </c>
      <c r="M626" s="431">
        <v>5.6</v>
      </c>
      <c r="N626" s="431">
        <v>5.42</v>
      </c>
      <c r="O626" s="431">
        <v>4.4800000000000004</v>
      </c>
      <c r="P626" s="431">
        <v>3.89</v>
      </c>
      <c r="Q626" s="179">
        <f t="shared" si="17"/>
        <v>5.8916666666666666</v>
      </c>
      <c r="R626" s="179" t="s">
        <v>994</v>
      </c>
    </row>
    <row r="627" spans="1:18" x14ac:dyDescent="0.15">
      <c r="A627" s="179" t="str">
        <f t="shared" si="16"/>
        <v>Culiacan_Flat Surface_180</v>
      </c>
      <c r="B627" s="501" t="s">
        <v>1135</v>
      </c>
      <c r="C627" s="429">
        <v>0</v>
      </c>
      <c r="D627" s="429">
        <v>180</v>
      </c>
      <c r="E627" s="431">
        <v>4.2300000000000004</v>
      </c>
      <c r="F627" s="431">
        <v>5.21</v>
      </c>
      <c r="G627" s="431">
        <v>6.47</v>
      </c>
      <c r="H627" s="431">
        <v>7.14</v>
      </c>
      <c r="I627" s="431">
        <v>7.87</v>
      </c>
      <c r="J627" s="431">
        <v>7.65</v>
      </c>
      <c r="K627" s="431">
        <v>6.68</v>
      </c>
      <c r="L627" s="431">
        <v>6.06</v>
      </c>
      <c r="M627" s="431">
        <v>5.6</v>
      </c>
      <c r="N627" s="431">
        <v>5.42</v>
      </c>
      <c r="O627" s="431">
        <v>4.4800000000000004</v>
      </c>
      <c r="P627" s="431">
        <v>3.89</v>
      </c>
      <c r="Q627" s="179">
        <f t="shared" si="17"/>
        <v>5.8916666666666666</v>
      </c>
      <c r="R627" s="179" t="s">
        <v>994</v>
      </c>
    </row>
    <row r="628" spans="1:18" x14ac:dyDescent="0.15">
      <c r="A628" s="179" t="str">
        <f t="shared" si="16"/>
        <v>Culiacan_Flat Surface_202.5</v>
      </c>
      <c r="B628" s="501" t="s">
        <v>1135</v>
      </c>
      <c r="C628" s="429">
        <v>0</v>
      </c>
      <c r="D628" s="429">
        <v>202.5</v>
      </c>
      <c r="E628" s="431">
        <v>4.2300000000000004</v>
      </c>
      <c r="F628" s="431">
        <v>5.21</v>
      </c>
      <c r="G628" s="431">
        <v>6.47</v>
      </c>
      <c r="H628" s="431">
        <v>7.14</v>
      </c>
      <c r="I628" s="431">
        <v>7.87</v>
      </c>
      <c r="J628" s="431">
        <v>7.65</v>
      </c>
      <c r="K628" s="431">
        <v>6.68</v>
      </c>
      <c r="L628" s="431">
        <v>6.06</v>
      </c>
      <c r="M628" s="431">
        <v>5.6</v>
      </c>
      <c r="N628" s="431">
        <v>5.42</v>
      </c>
      <c r="O628" s="431">
        <v>4.4800000000000004</v>
      </c>
      <c r="P628" s="431">
        <v>3.89</v>
      </c>
      <c r="Q628" s="179">
        <f t="shared" si="17"/>
        <v>5.8916666666666666</v>
      </c>
      <c r="R628" s="179" t="s">
        <v>994</v>
      </c>
    </row>
    <row r="629" spans="1:18" x14ac:dyDescent="0.15">
      <c r="A629" s="179" t="str">
        <f t="shared" si="16"/>
        <v>Culiacan_Flat Surface_225</v>
      </c>
      <c r="B629" s="501" t="s">
        <v>1135</v>
      </c>
      <c r="C629" s="429">
        <v>0</v>
      </c>
      <c r="D629" s="429">
        <v>225</v>
      </c>
      <c r="E629" s="431">
        <v>4.2300000000000004</v>
      </c>
      <c r="F629" s="431">
        <v>5.21</v>
      </c>
      <c r="G629" s="431">
        <v>6.47</v>
      </c>
      <c r="H629" s="431">
        <v>7.14</v>
      </c>
      <c r="I629" s="431">
        <v>7.87</v>
      </c>
      <c r="J629" s="431">
        <v>7.65</v>
      </c>
      <c r="K629" s="431">
        <v>6.68</v>
      </c>
      <c r="L629" s="431">
        <v>6.06</v>
      </c>
      <c r="M629" s="431">
        <v>5.6</v>
      </c>
      <c r="N629" s="431">
        <v>5.42</v>
      </c>
      <c r="O629" s="431">
        <v>4.4800000000000004</v>
      </c>
      <c r="P629" s="431">
        <v>3.89</v>
      </c>
      <c r="Q629" s="179">
        <f t="shared" si="17"/>
        <v>5.8916666666666666</v>
      </c>
      <c r="R629" s="179" t="s">
        <v>994</v>
      </c>
    </row>
    <row r="630" spans="1:18" x14ac:dyDescent="0.15">
      <c r="A630" s="179" t="str">
        <f t="shared" si="16"/>
        <v>Culiacan_Flat Surface_247.5</v>
      </c>
      <c r="B630" s="501" t="s">
        <v>1135</v>
      </c>
      <c r="C630" s="429">
        <v>0</v>
      </c>
      <c r="D630" s="429">
        <v>247.5</v>
      </c>
      <c r="E630" s="431">
        <v>4.2300000000000004</v>
      </c>
      <c r="F630" s="431">
        <v>5.21</v>
      </c>
      <c r="G630" s="431">
        <v>6.47</v>
      </c>
      <c r="H630" s="431">
        <v>7.14</v>
      </c>
      <c r="I630" s="431">
        <v>7.87</v>
      </c>
      <c r="J630" s="431">
        <v>7.65</v>
      </c>
      <c r="K630" s="431">
        <v>6.68</v>
      </c>
      <c r="L630" s="431">
        <v>6.06</v>
      </c>
      <c r="M630" s="431">
        <v>5.6</v>
      </c>
      <c r="N630" s="431">
        <v>5.42</v>
      </c>
      <c r="O630" s="431">
        <v>4.4800000000000004</v>
      </c>
      <c r="P630" s="431">
        <v>3.89</v>
      </c>
      <c r="Q630" s="179">
        <f t="shared" si="17"/>
        <v>5.8916666666666666</v>
      </c>
      <c r="R630" s="179" t="s">
        <v>994</v>
      </c>
    </row>
    <row r="631" spans="1:18" x14ac:dyDescent="0.15">
      <c r="A631" s="179" t="str">
        <f t="shared" si="16"/>
        <v>Culiacan_Flat Surface_270</v>
      </c>
      <c r="B631" s="501" t="s">
        <v>1135</v>
      </c>
      <c r="C631" s="429">
        <v>0</v>
      </c>
      <c r="D631" s="429">
        <v>270</v>
      </c>
      <c r="E631" s="431">
        <v>4.2300000000000004</v>
      </c>
      <c r="F631" s="431">
        <v>5.21</v>
      </c>
      <c r="G631" s="431">
        <v>6.47</v>
      </c>
      <c r="H631" s="431">
        <v>7.14</v>
      </c>
      <c r="I631" s="431">
        <v>7.87</v>
      </c>
      <c r="J631" s="431">
        <v>7.65</v>
      </c>
      <c r="K631" s="431">
        <v>6.68</v>
      </c>
      <c r="L631" s="431">
        <v>6.06</v>
      </c>
      <c r="M631" s="431">
        <v>5.6</v>
      </c>
      <c r="N631" s="431">
        <v>5.42</v>
      </c>
      <c r="O631" s="431">
        <v>4.4800000000000004</v>
      </c>
      <c r="P631" s="431">
        <v>3.89</v>
      </c>
      <c r="Q631" s="179">
        <f t="shared" si="17"/>
        <v>5.8916666666666666</v>
      </c>
      <c r="R631" s="179" t="s">
        <v>994</v>
      </c>
    </row>
    <row r="632" spans="1:18" x14ac:dyDescent="0.15">
      <c r="A632" s="179" t="str">
        <f t="shared" si="16"/>
        <v>Culiacan_Optimal Summer_90</v>
      </c>
      <c r="B632" s="501" t="s">
        <v>1135</v>
      </c>
      <c r="C632" s="429">
        <v>10</v>
      </c>
      <c r="D632" s="429">
        <v>90</v>
      </c>
      <c r="E632" s="431">
        <v>3.84</v>
      </c>
      <c r="F632" s="431">
        <v>4.58</v>
      </c>
      <c r="G632" s="431">
        <v>5.48</v>
      </c>
      <c r="H632" s="431">
        <v>5.8</v>
      </c>
      <c r="I632" s="431">
        <v>6.19</v>
      </c>
      <c r="J632" s="431">
        <v>5.94</v>
      </c>
      <c r="K632" s="431">
        <v>5.24</v>
      </c>
      <c r="L632" s="431">
        <v>4.8600000000000003</v>
      </c>
      <c r="M632" s="431">
        <v>4.63</v>
      </c>
      <c r="N632" s="431">
        <v>4.7</v>
      </c>
      <c r="O632" s="431">
        <v>4.03</v>
      </c>
      <c r="P632" s="431">
        <v>3.56</v>
      </c>
      <c r="Q632" s="179">
        <f t="shared" si="17"/>
        <v>4.9041666666666677</v>
      </c>
      <c r="R632" s="179" t="s">
        <v>958</v>
      </c>
    </row>
    <row r="633" spans="1:18" x14ac:dyDescent="0.15">
      <c r="A633" s="179" t="str">
        <f t="shared" si="16"/>
        <v>Culiacan_Optimal Summer_112.5</v>
      </c>
      <c r="B633" s="501" t="s">
        <v>1135</v>
      </c>
      <c r="C633" s="429">
        <v>10</v>
      </c>
      <c r="D633" s="429">
        <v>112.5</v>
      </c>
      <c r="E633" s="431">
        <v>4.2</v>
      </c>
      <c r="F633" s="431">
        <v>5.01</v>
      </c>
      <c r="G633" s="431">
        <v>5.99</v>
      </c>
      <c r="H633" s="431">
        <v>6.34</v>
      </c>
      <c r="I633" s="431">
        <v>6.77</v>
      </c>
      <c r="J633" s="431">
        <v>6.5</v>
      </c>
      <c r="K633" s="431">
        <v>5.73</v>
      </c>
      <c r="L633" s="431">
        <v>5.32</v>
      </c>
      <c r="M633" s="431">
        <v>5.07</v>
      </c>
      <c r="N633" s="431">
        <v>5.14</v>
      </c>
      <c r="O633" s="431">
        <v>4.41</v>
      </c>
      <c r="P633" s="431">
        <v>3.89</v>
      </c>
      <c r="Q633" s="179">
        <f t="shared" si="17"/>
        <v>5.3641666666666667</v>
      </c>
      <c r="R633" s="179" t="s">
        <v>958</v>
      </c>
    </row>
    <row r="634" spans="1:18" x14ac:dyDescent="0.15">
      <c r="A634" s="179" t="str">
        <f t="shared" si="16"/>
        <v>Culiacan_Optimal Summer_135</v>
      </c>
      <c r="B634" s="501" t="s">
        <v>1135</v>
      </c>
      <c r="C634" s="429">
        <v>10</v>
      </c>
      <c r="D634" s="429">
        <v>135</v>
      </c>
      <c r="E634" s="431">
        <v>4.5599999999999996</v>
      </c>
      <c r="F634" s="431">
        <v>5.44</v>
      </c>
      <c r="G634" s="431">
        <v>6.51</v>
      </c>
      <c r="H634" s="431">
        <v>6.89</v>
      </c>
      <c r="I634" s="431">
        <v>7.35</v>
      </c>
      <c r="J634" s="431">
        <v>7.06</v>
      </c>
      <c r="K634" s="431">
        <v>6.22</v>
      </c>
      <c r="L634" s="431">
        <v>5.78</v>
      </c>
      <c r="M634" s="431">
        <v>5.5</v>
      </c>
      <c r="N634" s="431">
        <v>5.58</v>
      </c>
      <c r="O634" s="431">
        <v>4.79</v>
      </c>
      <c r="P634" s="431">
        <v>4.2300000000000004</v>
      </c>
      <c r="Q634" s="179">
        <f t="shared" si="17"/>
        <v>5.8258333333333345</v>
      </c>
      <c r="R634" s="179" t="s">
        <v>958</v>
      </c>
    </row>
    <row r="635" spans="1:18" x14ac:dyDescent="0.15">
      <c r="A635" s="179" t="str">
        <f t="shared" si="16"/>
        <v>Culiacan_Optimal Summer_157.5</v>
      </c>
      <c r="B635" s="501" t="s">
        <v>1135</v>
      </c>
      <c r="C635" s="429">
        <v>10</v>
      </c>
      <c r="D635" s="429">
        <v>157.5</v>
      </c>
      <c r="E635" s="431">
        <v>4.68</v>
      </c>
      <c r="F635" s="431">
        <v>5.59</v>
      </c>
      <c r="G635" s="431">
        <v>6.68</v>
      </c>
      <c r="H635" s="431">
        <v>7.07</v>
      </c>
      <c r="I635" s="431">
        <v>7.55</v>
      </c>
      <c r="J635" s="431">
        <v>7.24</v>
      </c>
      <c r="K635" s="431">
        <v>6.39</v>
      </c>
      <c r="L635" s="431">
        <v>5.93</v>
      </c>
      <c r="M635" s="431">
        <v>5.65</v>
      </c>
      <c r="N635" s="431">
        <v>5.72</v>
      </c>
      <c r="O635" s="431">
        <v>4.91</v>
      </c>
      <c r="P635" s="431">
        <v>4.34</v>
      </c>
      <c r="Q635" s="179">
        <f t="shared" si="17"/>
        <v>5.979166666666667</v>
      </c>
      <c r="R635" s="179" t="s">
        <v>958</v>
      </c>
    </row>
    <row r="636" spans="1:18" x14ac:dyDescent="0.15">
      <c r="A636" s="179" t="str">
        <f t="shared" si="16"/>
        <v>Culiacan_Optimal Summer_180</v>
      </c>
      <c r="B636" s="501" t="s">
        <v>1135</v>
      </c>
      <c r="C636" s="429">
        <v>10</v>
      </c>
      <c r="D636" s="429">
        <v>180</v>
      </c>
      <c r="E636" s="431">
        <v>4.8</v>
      </c>
      <c r="F636" s="431">
        <v>5.73</v>
      </c>
      <c r="G636" s="431">
        <v>6.85</v>
      </c>
      <c r="H636" s="431">
        <v>7.25</v>
      </c>
      <c r="I636" s="431">
        <v>7.74</v>
      </c>
      <c r="J636" s="431">
        <v>7.43</v>
      </c>
      <c r="K636" s="431">
        <v>6.55</v>
      </c>
      <c r="L636" s="431">
        <v>6.08</v>
      </c>
      <c r="M636" s="431">
        <v>5.79</v>
      </c>
      <c r="N636" s="431">
        <v>5.87</v>
      </c>
      <c r="O636" s="431">
        <v>5.04</v>
      </c>
      <c r="P636" s="431">
        <v>4.45</v>
      </c>
      <c r="Q636" s="179">
        <f t="shared" si="17"/>
        <v>6.1316666666666677</v>
      </c>
      <c r="R636" s="179" t="s">
        <v>958</v>
      </c>
    </row>
    <row r="637" spans="1:18" x14ac:dyDescent="0.15">
      <c r="A637" s="179" t="str">
        <f t="shared" si="16"/>
        <v>Culiacan_Optimal Summer_202.5</v>
      </c>
      <c r="B637" s="501" t="s">
        <v>1135</v>
      </c>
      <c r="C637" s="429">
        <v>10</v>
      </c>
      <c r="D637" s="429">
        <v>202.5</v>
      </c>
      <c r="E637" s="431">
        <v>4.68</v>
      </c>
      <c r="F637" s="431">
        <v>5.59</v>
      </c>
      <c r="G637" s="431">
        <v>6.68</v>
      </c>
      <c r="H637" s="431">
        <v>7.07</v>
      </c>
      <c r="I637" s="431">
        <v>7.55</v>
      </c>
      <c r="J637" s="431">
        <v>7.24</v>
      </c>
      <c r="K637" s="431">
        <v>6.39</v>
      </c>
      <c r="L637" s="431">
        <v>5.93</v>
      </c>
      <c r="M637" s="431">
        <v>5.65</v>
      </c>
      <c r="N637" s="431">
        <v>5.72</v>
      </c>
      <c r="O637" s="431">
        <v>4.91</v>
      </c>
      <c r="P637" s="431">
        <v>4.34</v>
      </c>
      <c r="Q637" s="179">
        <f t="shared" si="17"/>
        <v>5.979166666666667</v>
      </c>
      <c r="R637" s="179" t="s">
        <v>958</v>
      </c>
    </row>
    <row r="638" spans="1:18" x14ac:dyDescent="0.15">
      <c r="A638" s="179" t="str">
        <f t="shared" si="16"/>
        <v>Culiacan_Optimal Summer_225</v>
      </c>
      <c r="B638" s="501" t="s">
        <v>1135</v>
      </c>
      <c r="C638" s="429">
        <v>10</v>
      </c>
      <c r="D638" s="429">
        <v>225</v>
      </c>
      <c r="E638" s="431">
        <v>4.5599999999999996</v>
      </c>
      <c r="F638" s="431">
        <v>5.44</v>
      </c>
      <c r="G638" s="431">
        <v>6.51</v>
      </c>
      <c r="H638" s="431">
        <v>6.89</v>
      </c>
      <c r="I638" s="431">
        <v>7.35</v>
      </c>
      <c r="J638" s="431">
        <v>7.06</v>
      </c>
      <c r="K638" s="431">
        <v>6.22</v>
      </c>
      <c r="L638" s="431">
        <v>5.78</v>
      </c>
      <c r="M638" s="431">
        <v>5.5</v>
      </c>
      <c r="N638" s="431">
        <v>5.58</v>
      </c>
      <c r="O638" s="431">
        <v>4.79</v>
      </c>
      <c r="P638" s="431">
        <v>4.2300000000000004</v>
      </c>
      <c r="Q638" s="179">
        <f t="shared" si="17"/>
        <v>5.8258333333333345</v>
      </c>
      <c r="R638" s="179" t="s">
        <v>958</v>
      </c>
    </row>
    <row r="639" spans="1:18" x14ac:dyDescent="0.15">
      <c r="A639" s="179" t="str">
        <f t="shared" si="16"/>
        <v>Culiacan_Optimal Summer_247.5</v>
      </c>
      <c r="B639" s="501" t="s">
        <v>1135</v>
      </c>
      <c r="C639" s="429">
        <v>10</v>
      </c>
      <c r="D639" s="429">
        <v>247.5</v>
      </c>
      <c r="E639" s="431">
        <v>4.2</v>
      </c>
      <c r="F639" s="431">
        <v>5.01</v>
      </c>
      <c r="G639" s="431">
        <v>5.99</v>
      </c>
      <c r="H639" s="431">
        <v>6.34</v>
      </c>
      <c r="I639" s="431">
        <v>6.77</v>
      </c>
      <c r="J639" s="431">
        <v>6.5</v>
      </c>
      <c r="K639" s="431">
        <v>5.73</v>
      </c>
      <c r="L639" s="431">
        <v>5.32</v>
      </c>
      <c r="M639" s="431">
        <v>5.07</v>
      </c>
      <c r="N639" s="431">
        <v>5.14</v>
      </c>
      <c r="O639" s="431">
        <v>4.41</v>
      </c>
      <c r="P639" s="431">
        <v>3.89</v>
      </c>
      <c r="Q639" s="179">
        <f t="shared" si="17"/>
        <v>5.3641666666666667</v>
      </c>
      <c r="R639" s="179" t="s">
        <v>958</v>
      </c>
    </row>
    <row r="640" spans="1:18" x14ac:dyDescent="0.15">
      <c r="A640" s="179" t="str">
        <f t="shared" si="16"/>
        <v>Culiacan_Optimal Summer_270</v>
      </c>
      <c r="B640" s="501" t="s">
        <v>1135</v>
      </c>
      <c r="C640" s="429">
        <v>10</v>
      </c>
      <c r="D640" s="429">
        <v>270</v>
      </c>
      <c r="E640" s="431">
        <v>3.84</v>
      </c>
      <c r="F640" s="431">
        <v>4.58</v>
      </c>
      <c r="G640" s="431">
        <v>5.48</v>
      </c>
      <c r="H640" s="431">
        <v>5.8</v>
      </c>
      <c r="I640" s="431">
        <v>6.19</v>
      </c>
      <c r="J640" s="431">
        <v>5.94</v>
      </c>
      <c r="K640" s="431">
        <v>5.24</v>
      </c>
      <c r="L640" s="431">
        <v>4.8600000000000003</v>
      </c>
      <c r="M640" s="431">
        <v>4.63</v>
      </c>
      <c r="N640" s="431">
        <v>4.7</v>
      </c>
      <c r="O640" s="431">
        <v>4.03</v>
      </c>
      <c r="P640" s="431">
        <v>3.56</v>
      </c>
      <c r="Q640" s="179">
        <f t="shared" si="17"/>
        <v>4.9041666666666677</v>
      </c>
      <c r="R640" s="179" t="s">
        <v>958</v>
      </c>
    </row>
    <row r="641" spans="1:18" x14ac:dyDescent="0.15">
      <c r="A641" s="179" t="str">
        <f t="shared" si="16"/>
        <v>Culiacan_Optimal Year Round_90</v>
      </c>
      <c r="B641" s="501" t="s">
        <v>1135</v>
      </c>
      <c r="C641" s="429">
        <v>25</v>
      </c>
      <c r="D641" s="429">
        <v>90</v>
      </c>
      <c r="E641" s="431">
        <v>4.42</v>
      </c>
      <c r="F641" s="431">
        <v>5.07</v>
      </c>
      <c r="G641" s="431">
        <v>5.73</v>
      </c>
      <c r="H641" s="431">
        <v>5.7</v>
      </c>
      <c r="I641" s="431">
        <v>5.75</v>
      </c>
      <c r="J641" s="431">
        <v>5.42</v>
      </c>
      <c r="K641" s="431">
        <v>4.8499999999999996</v>
      </c>
      <c r="L641" s="431">
        <v>4.7</v>
      </c>
      <c r="M641" s="431">
        <v>4.6900000000000004</v>
      </c>
      <c r="N641" s="431">
        <v>5.09</v>
      </c>
      <c r="O641" s="431">
        <v>4.59</v>
      </c>
      <c r="P641" s="431">
        <v>4.1399999999999997</v>
      </c>
      <c r="Q641" s="179">
        <f t="shared" si="17"/>
        <v>5.0125000000000002</v>
      </c>
      <c r="R641" s="179" t="s">
        <v>993</v>
      </c>
    </row>
    <row r="642" spans="1:18" x14ac:dyDescent="0.15">
      <c r="A642" s="179" t="str">
        <f t="shared" ref="A642:A705" si="18">B642&amp;"_"&amp;R642&amp;"_"&amp;D642</f>
        <v>Culiacan_Optimal Year Round_112.5</v>
      </c>
      <c r="B642" s="501" t="s">
        <v>1135</v>
      </c>
      <c r="C642" s="429">
        <v>25</v>
      </c>
      <c r="D642" s="429">
        <v>112.5</v>
      </c>
      <c r="E642" s="431">
        <v>4.84</v>
      </c>
      <c r="F642" s="431">
        <v>5.55</v>
      </c>
      <c r="G642" s="431">
        <v>6.26</v>
      </c>
      <c r="H642" s="431">
        <v>6.24</v>
      </c>
      <c r="I642" s="431">
        <v>6.29</v>
      </c>
      <c r="J642" s="431">
        <v>5.92</v>
      </c>
      <c r="K642" s="431">
        <v>5.3</v>
      </c>
      <c r="L642" s="431">
        <v>5.14</v>
      </c>
      <c r="M642" s="431">
        <v>5.13</v>
      </c>
      <c r="N642" s="431">
        <v>5.56</v>
      </c>
      <c r="O642" s="431">
        <v>5.0199999999999996</v>
      </c>
      <c r="P642" s="431">
        <v>4.53</v>
      </c>
      <c r="Q642" s="179">
        <f t="shared" ref="Q642:Q705" si="19">AVERAGE(E642:P642)</f>
        <v>5.4816666666666665</v>
      </c>
      <c r="R642" s="179" t="s">
        <v>993</v>
      </c>
    </row>
    <row r="643" spans="1:18" x14ac:dyDescent="0.15">
      <c r="A643" s="179" t="str">
        <f t="shared" si="18"/>
        <v>Culiacan_Optimal Year Round_135</v>
      </c>
      <c r="B643" s="501" t="s">
        <v>1135</v>
      </c>
      <c r="C643" s="429">
        <v>25</v>
      </c>
      <c r="D643" s="429">
        <v>135</v>
      </c>
      <c r="E643" s="431">
        <v>5.25</v>
      </c>
      <c r="F643" s="431">
        <v>6.02</v>
      </c>
      <c r="G643" s="431">
        <v>6.8</v>
      </c>
      <c r="H643" s="431">
        <v>6.77</v>
      </c>
      <c r="I643" s="431">
        <v>6.83</v>
      </c>
      <c r="J643" s="431">
        <v>6.43</v>
      </c>
      <c r="K643" s="431">
        <v>5.76</v>
      </c>
      <c r="L643" s="431">
        <v>5.58</v>
      </c>
      <c r="M643" s="431">
        <v>5.57</v>
      </c>
      <c r="N643" s="431">
        <v>6.04</v>
      </c>
      <c r="O643" s="431">
        <v>5.45</v>
      </c>
      <c r="P643" s="431">
        <v>4.92</v>
      </c>
      <c r="Q643" s="179">
        <f t="shared" si="19"/>
        <v>5.9516666666666671</v>
      </c>
      <c r="R643" s="179" t="s">
        <v>993</v>
      </c>
    </row>
    <row r="644" spans="1:18" x14ac:dyDescent="0.15">
      <c r="A644" s="179" t="str">
        <f t="shared" si="18"/>
        <v>Culiacan_Optimal Year Round_157.5</v>
      </c>
      <c r="B644" s="501" t="s">
        <v>1135</v>
      </c>
      <c r="C644" s="429">
        <v>25</v>
      </c>
      <c r="D644" s="429">
        <v>157.5</v>
      </c>
      <c r="E644" s="431">
        <v>5.39</v>
      </c>
      <c r="F644" s="431">
        <v>6.18</v>
      </c>
      <c r="G644" s="431">
        <v>6.98</v>
      </c>
      <c r="H644" s="431">
        <v>6.95</v>
      </c>
      <c r="I644" s="431">
        <v>7.01</v>
      </c>
      <c r="J644" s="431">
        <v>6.6</v>
      </c>
      <c r="K644" s="431">
        <v>5.91</v>
      </c>
      <c r="L644" s="431">
        <v>5.72</v>
      </c>
      <c r="M644" s="431">
        <v>5.71</v>
      </c>
      <c r="N644" s="431">
        <v>6.2</v>
      </c>
      <c r="O644" s="431">
        <v>5.6</v>
      </c>
      <c r="P644" s="431">
        <v>5.05</v>
      </c>
      <c r="Q644" s="179">
        <f t="shared" si="19"/>
        <v>6.1083333333333334</v>
      </c>
      <c r="R644" s="179" t="s">
        <v>993</v>
      </c>
    </row>
    <row r="645" spans="1:18" x14ac:dyDescent="0.15">
      <c r="A645" s="179" t="str">
        <f t="shared" si="18"/>
        <v>Culiacan_Optimal Year Round_180</v>
      </c>
      <c r="B645" s="501" t="s">
        <v>1135</v>
      </c>
      <c r="C645" s="429">
        <v>25</v>
      </c>
      <c r="D645" s="429">
        <v>180</v>
      </c>
      <c r="E645" s="431">
        <v>5.53</v>
      </c>
      <c r="F645" s="431">
        <v>6.34</v>
      </c>
      <c r="G645" s="431">
        <v>7.16</v>
      </c>
      <c r="H645" s="431">
        <v>7.13</v>
      </c>
      <c r="I645" s="431">
        <v>7.19</v>
      </c>
      <c r="J645" s="431">
        <v>6.77</v>
      </c>
      <c r="K645" s="431">
        <v>6.06</v>
      </c>
      <c r="L645" s="431">
        <v>5.87</v>
      </c>
      <c r="M645" s="431">
        <v>5.86</v>
      </c>
      <c r="N645" s="431">
        <v>6.36</v>
      </c>
      <c r="O645" s="431">
        <v>5.74</v>
      </c>
      <c r="P645" s="431">
        <v>5.18</v>
      </c>
      <c r="Q645" s="179">
        <f t="shared" si="19"/>
        <v>6.2658333333333331</v>
      </c>
      <c r="R645" s="179" t="s">
        <v>993</v>
      </c>
    </row>
    <row r="646" spans="1:18" x14ac:dyDescent="0.15">
      <c r="A646" s="179" t="str">
        <f t="shared" si="18"/>
        <v>Culiacan_Optimal Year Round_202.5</v>
      </c>
      <c r="B646" s="501" t="s">
        <v>1135</v>
      </c>
      <c r="C646" s="429">
        <v>25</v>
      </c>
      <c r="D646" s="429">
        <v>202.5</v>
      </c>
      <c r="E646" s="431">
        <v>5.39</v>
      </c>
      <c r="F646" s="431">
        <v>6.18</v>
      </c>
      <c r="G646" s="431">
        <v>6.98</v>
      </c>
      <c r="H646" s="431">
        <v>6.95</v>
      </c>
      <c r="I646" s="431">
        <v>7.01</v>
      </c>
      <c r="J646" s="431">
        <v>6.6</v>
      </c>
      <c r="K646" s="431">
        <v>5.91</v>
      </c>
      <c r="L646" s="431">
        <v>5.72</v>
      </c>
      <c r="M646" s="431">
        <v>5.71</v>
      </c>
      <c r="N646" s="431">
        <v>6.2</v>
      </c>
      <c r="O646" s="431">
        <v>5.6</v>
      </c>
      <c r="P646" s="431">
        <v>5.05</v>
      </c>
      <c r="Q646" s="179">
        <f t="shared" si="19"/>
        <v>6.1083333333333334</v>
      </c>
      <c r="R646" s="179" t="s">
        <v>993</v>
      </c>
    </row>
    <row r="647" spans="1:18" x14ac:dyDescent="0.15">
      <c r="A647" s="179" t="str">
        <f t="shared" si="18"/>
        <v>Culiacan_Optimal Year Round_225</v>
      </c>
      <c r="B647" s="501" t="s">
        <v>1135</v>
      </c>
      <c r="C647" s="429">
        <v>25</v>
      </c>
      <c r="D647" s="429">
        <v>225</v>
      </c>
      <c r="E647" s="431">
        <v>5.25</v>
      </c>
      <c r="F647" s="431">
        <v>6.02</v>
      </c>
      <c r="G647" s="431">
        <v>6.8</v>
      </c>
      <c r="H647" s="431">
        <v>6.77</v>
      </c>
      <c r="I647" s="431">
        <v>6.83</v>
      </c>
      <c r="J647" s="431">
        <v>6.43</v>
      </c>
      <c r="K647" s="431">
        <v>5.76</v>
      </c>
      <c r="L647" s="431">
        <v>5.58</v>
      </c>
      <c r="M647" s="431">
        <v>5.57</v>
      </c>
      <c r="N647" s="431">
        <v>6.04</v>
      </c>
      <c r="O647" s="431">
        <v>5.45</v>
      </c>
      <c r="P647" s="431">
        <v>4.92</v>
      </c>
      <c r="Q647" s="179">
        <f t="shared" si="19"/>
        <v>5.9516666666666671</v>
      </c>
      <c r="R647" s="179" t="s">
        <v>993</v>
      </c>
    </row>
    <row r="648" spans="1:18" x14ac:dyDescent="0.15">
      <c r="A648" s="179" t="str">
        <f t="shared" si="18"/>
        <v>Culiacan_Optimal Year Round_247.5</v>
      </c>
      <c r="B648" s="501" t="s">
        <v>1135</v>
      </c>
      <c r="C648" s="429">
        <v>25</v>
      </c>
      <c r="D648" s="429">
        <v>247.5</v>
      </c>
      <c r="E648" s="431">
        <v>4.84</v>
      </c>
      <c r="F648" s="431">
        <v>5.55</v>
      </c>
      <c r="G648" s="431">
        <v>6.26</v>
      </c>
      <c r="H648" s="431">
        <v>6.24</v>
      </c>
      <c r="I648" s="431">
        <v>6.29</v>
      </c>
      <c r="J648" s="431">
        <v>5.92</v>
      </c>
      <c r="K648" s="431">
        <v>5.3</v>
      </c>
      <c r="L648" s="431">
        <v>5.14</v>
      </c>
      <c r="M648" s="431">
        <v>5.13</v>
      </c>
      <c r="N648" s="431">
        <v>5.56</v>
      </c>
      <c r="O648" s="431">
        <v>5.0199999999999996</v>
      </c>
      <c r="P648" s="431">
        <v>4.53</v>
      </c>
      <c r="Q648" s="179">
        <f t="shared" si="19"/>
        <v>5.4816666666666665</v>
      </c>
      <c r="R648" s="179" t="s">
        <v>993</v>
      </c>
    </row>
    <row r="649" spans="1:18" x14ac:dyDescent="0.15">
      <c r="A649" s="179" t="str">
        <f t="shared" si="18"/>
        <v>Culiacan_Optimal Year Round_270</v>
      </c>
      <c r="B649" s="501" t="s">
        <v>1135</v>
      </c>
      <c r="C649" s="429">
        <v>25</v>
      </c>
      <c r="D649" s="429">
        <v>270</v>
      </c>
      <c r="E649" s="431">
        <v>4.42</v>
      </c>
      <c r="F649" s="431">
        <v>5.07</v>
      </c>
      <c r="G649" s="431">
        <v>5.73</v>
      </c>
      <c r="H649" s="431">
        <v>5.7</v>
      </c>
      <c r="I649" s="431">
        <v>5.75</v>
      </c>
      <c r="J649" s="431">
        <v>5.42</v>
      </c>
      <c r="K649" s="431">
        <v>4.8499999999999996</v>
      </c>
      <c r="L649" s="431">
        <v>4.7</v>
      </c>
      <c r="M649" s="431">
        <v>4.6900000000000004</v>
      </c>
      <c r="N649" s="431">
        <v>5.09</v>
      </c>
      <c r="O649" s="431">
        <v>4.59</v>
      </c>
      <c r="P649" s="431">
        <v>4.1399999999999997</v>
      </c>
      <c r="Q649" s="179">
        <f t="shared" si="19"/>
        <v>5.0125000000000002</v>
      </c>
      <c r="R649" s="179" t="s">
        <v>993</v>
      </c>
    </row>
    <row r="650" spans="1:18" x14ac:dyDescent="0.15">
      <c r="A650" s="179" t="str">
        <f t="shared" si="18"/>
        <v>Durango_Flat Surface_90</v>
      </c>
      <c r="B650" s="501" t="s">
        <v>633</v>
      </c>
      <c r="C650" s="429">
        <v>0</v>
      </c>
      <c r="D650" s="429">
        <v>90</v>
      </c>
      <c r="E650" s="431">
        <v>4.29</v>
      </c>
      <c r="F650" s="431">
        <v>5.31</v>
      </c>
      <c r="G650" s="431">
        <v>6.54</v>
      </c>
      <c r="H650" s="431">
        <v>6.88</v>
      </c>
      <c r="I650" s="431">
        <v>7.12</v>
      </c>
      <c r="J650" s="431">
        <v>6.61</v>
      </c>
      <c r="K650" s="431">
        <v>5.94</v>
      </c>
      <c r="L650" s="431">
        <v>5.71</v>
      </c>
      <c r="M650" s="431">
        <v>5.26</v>
      </c>
      <c r="N650" s="431">
        <v>5.35</v>
      </c>
      <c r="O650" s="431">
        <v>4.71</v>
      </c>
      <c r="P650" s="431">
        <v>4.0599999999999996</v>
      </c>
      <c r="Q650" s="179">
        <f t="shared" si="19"/>
        <v>5.6483333333333334</v>
      </c>
      <c r="R650" s="179" t="s">
        <v>994</v>
      </c>
    </row>
    <row r="651" spans="1:18" x14ac:dyDescent="0.15">
      <c r="A651" s="179" t="str">
        <f t="shared" si="18"/>
        <v>Durango_Flat Surface_112.5</v>
      </c>
      <c r="B651" s="501" t="s">
        <v>633</v>
      </c>
      <c r="C651" s="429">
        <v>0</v>
      </c>
      <c r="D651" s="429">
        <v>112.5</v>
      </c>
      <c r="E651" s="431">
        <v>4.29</v>
      </c>
      <c r="F651" s="431">
        <v>5.31</v>
      </c>
      <c r="G651" s="431">
        <v>6.54</v>
      </c>
      <c r="H651" s="431">
        <v>6.88</v>
      </c>
      <c r="I651" s="431">
        <v>7.12</v>
      </c>
      <c r="J651" s="431">
        <v>6.61</v>
      </c>
      <c r="K651" s="431">
        <v>5.94</v>
      </c>
      <c r="L651" s="431">
        <v>5.71</v>
      </c>
      <c r="M651" s="431">
        <v>5.26</v>
      </c>
      <c r="N651" s="431">
        <v>5.35</v>
      </c>
      <c r="O651" s="431">
        <v>4.71</v>
      </c>
      <c r="P651" s="431">
        <v>4.0599999999999996</v>
      </c>
      <c r="Q651" s="179">
        <f t="shared" si="19"/>
        <v>5.6483333333333334</v>
      </c>
      <c r="R651" s="179" t="s">
        <v>994</v>
      </c>
    </row>
    <row r="652" spans="1:18" x14ac:dyDescent="0.15">
      <c r="A652" s="179" t="str">
        <f t="shared" si="18"/>
        <v>Durango_Flat Surface_135</v>
      </c>
      <c r="B652" s="501" t="s">
        <v>633</v>
      </c>
      <c r="C652" s="429">
        <v>0</v>
      </c>
      <c r="D652" s="429">
        <v>135</v>
      </c>
      <c r="E652" s="431">
        <v>4.29</v>
      </c>
      <c r="F652" s="431">
        <v>5.31</v>
      </c>
      <c r="G652" s="431">
        <v>6.54</v>
      </c>
      <c r="H652" s="431">
        <v>6.88</v>
      </c>
      <c r="I652" s="431">
        <v>7.12</v>
      </c>
      <c r="J652" s="431">
        <v>6.61</v>
      </c>
      <c r="K652" s="431">
        <v>5.94</v>
      </c>
      <c r="L652" s="431">
        <v>5.71</v>
      </c>
      <c r="M652" s="431">
        <v>5.26</v>
      </c>
      <c r="N652" s="431">
        <v>5.35</v>
      </c>
      <c r="O652" s="431">
        <v>4.71</v>
      </c>
      <c r="P652" s="431">
        <v>4.0599999999999996</v>
      </c>
      <c r="Q652" s="179">
        <f t="shared" si="19"/>
        <v>5.6483333333333334</v>
      </c>
      <c r="R652" s="179" t="s">
        <v>994</v>
      </c>
    </row>
    <row r="653" spans="1:18" x14ac:dyDescent="0.15">
      <c r="A653" s="179" t="str">
        <f t="shared" si="18"/>
        <v>Durango_Flat Surface_157.5</v>
      </c>
      <c r="B653" s="501" t="s">
        <v>633</v>
      </c>
      <c r="C653" s="429">
        <v>0</v>
      </c>
      <c r="D653" s="429">
        <v>157.5</v>
      </c>
      <c r="E653" s="431">
        <v>4.29</v>
      </c>
      <c r="F653" s="431">
        <v>5.31</v>
      </c>
      <c r="G653" s="431">
        <v>6.54</v>
      </c>
      <c r="H653" s="431">
        <v>6.88</v>
      </c>
      <c r="I653" s="431">
        <v>7.12</v>
      </c>
      <c r="J653" s="431">
        <v>6.61</v>
      </c>
      <c r="K653" s="431">
        <v>5.94</v>
      </c>
      <c r="L653" s="431">
        <v>5.71</v>
      </c>
      <c r="M653" s="431">
        <v>5.26</v>
      </c>
      <c r="N653" s="431">
        <v>5.35</v>
      </c>
      <c r="O653" s="431">
        <v>4.71</v>
      </c>
      <c r="P653" s="431">
        <v>4.0599999999999996</v>
      </c>
      <c r="Q653" s="179">
        <f t="shared" si="19"/>
        <v>5.6483333333333334</v>
      </c>
      <c r="R653" s="179" t="s">
        <v>994</v>
      </c>
    </row>
    <row r="654" spans="1:18" x14ac:dyDescent="0.15">
      <c r="A654" s="179" t="str">
        <f t="shared" si="18"/>
        <v>Durango_Flat Surface_180</v>
      </c>
      <c r="B654" s="501" t="s">
        <v>633</v>
      </c>
      <c r="C654" s="429">
        <v>0</v>
      </c>
      <c r="D654" s="429">
        <v>180</v>
      </c>
      <c r="E654" s="431">
        <v>4.29</v>
      </c>
      <c r="F654" s="431">
        <v>5.31</v>
      </c>
      <c r="G654" s="431">
        <v>6.54</v>
      </c>
      <c r="H654" s="431">
        <v>6.88</v>
      </c>
      <c r="I654" s="431">
        <v>7.12</v>
      </c>
      <c r="J654" s="431">
        <v>6.61</v>
      </c>
      <c r="K654" s="431">
        <v>5.94</v>
      </c>
      <c r="L654" s="431">
        <v>5.71</v>
      </c>
      <c r="M654" s="431">
        <v>5.26</v>
      </c>
      <c r="N654" s="431">
        <v>5.35</v>
      </c>
      <c r="O654" s="431">
        <v>4.71</v>
      </c>
      <c r="P654" s="431">
        <v>4.0599999999999996</v>
      </c>
      <c r="Q654" s="179">
        <f t="shared" si="19"/>
        <v>5.6483333333333334</v>
      </c>
      <c r="R654" s="179" t="s">
        <v>994</v>
      </c>
    </row>
    <row r="655" spans="1:18" x14ac:dyDescent="0.15">
      <c r="A655" s="179" t="str">
        <f t="shared" si="18"/>
        <v>Durango_Flat Surface_202.5</v>
      </c>
      <c r="B655" s="501" t="s">
        <v>633</v>
      </c>
      <c r="C655" s="429">
        <v>0</v>
      </c>
      <c r="D655" s="429">
        <v>202.5</v>
      </c>
      <c r="E655" s="431">
        <v>4.29</v>
      </c>
      <c r="F655" s="431">
        <v>5.31</v>
      </c>
      <c r="G655" s="431">
        <v>6.54</v>
      </c>
      <c r="H655" s="431">
        <v>6.88</v>
      </c>
      <c r="I655" s="431">
        <v>7.12</v>
      </c>
      <c r="J655" s="431">
        <v>6.61</v>
      </c>
      <c r="K655" s="431">
        <v>5.94</v>
      </c>
      <c r="L655" s="431">
        <v>5.71</v>
      </c>
      <c r="M655" s="431">
        <v>5.26</v>
      </c>
      <c r="N655" s="431">
        <v>5.35</v>
      </c>
      <c r="O655" s="431">
        <v>4.71</v>
      </c>
      <c r="P655" s="431">
        <v>4.0599999999999996</v>
      </c>
      <c r="Q655" s="179">
        <f t="shared" si="19"/>
        <v>5.6483333333333334</v>
      </c>
      <c r="R655" s="179" t="s">
        <v>994</v>
      </c>
    </row>
    <row r="656" spans="1:18" x14ac:dyDescent="0.15">
      <c r="A656" s="179" t="str">
        <f t="shared" si="18"/>
        <v>Durango_Flat Surface_225</v>
      </c>
      <c r="B656" s="501" t="s">
        <v>633</v>
      </c>
      <c r="C656" s="429">
        <v>0</v>
      </c>
      <c r="D656" s="429">
        <v>225</v>
      </c>
      <c r="E656" s="431">
        <v>4.29</v>
      </c>
      <c r="F656" s="431">
        <v>5.31</v>
      </c>
      <c r="G656" s="431">
        <v>6.54</v>
      </c>
      <c r="H656" s="431">
        <v>6.88</v>
      </c>
      <c r="I656" s="431">
        <v>7.12</v>
      </c>
      <c r="J656" s="431">
        <v>6.61</v>
      </c>
      <c r="K656" s="431">
        <v>5.94</v>
      </c>
      <c r="L656" s="431">
        <v>5.71</v>
      </c>
      <c r="M656" s="431">
        <v>5.26</v>
      </c>
      <c r="N656" s="431">
        <v>5.35</v>
      </c>
      <c r="O656" s="431">
        <v>4.71</v>
      </c>
      <c r="P656" s="431">
        <v>4.0599999999999996</v>
      </c>
      <c r="Q656" s="179">
        <f t="shared" si="19"/>
        <v>5.6483333333333334</v>
      </c>
      <c r="R656" s="179" t="s">
        <v>994</v>
      </c>
    </row>
    <row r="657" spans="1:18" x14ac:dyDescent="0.15">
      <c r="A657" s="179" t="str">
        <f t="shared" si="18"/>
        <v>Durango_Flat Surface_247.5</v>
      </c>
      <c r="B657" s="501" t="s">
        <v>633</v>
      </c>
      <c r="C657" s="429">
        <v>0</v>
      </c>
      <c r="D657" s="429">
        <v>247.5</v>
      </c>
      <c r="E657" s="431">
        <v>4.29</v>
      </c>
      <c r="F657" s="431">
        <v>5.31</v>
      </c>
      <c r="G657" s="431">
        <v>6.54</v>
      </c>
      <c r="H657" s="431">
        <v>6.88</v>
      </c>
      <c r="I657" s="431">
        <v>7.12</v>
      </c>
      <c r="J657" s="431">
        <v>6.61</v>
      </c>
      <c r="K657" s="431">
        <v>5.94</v>
      </c>
      <c r="L657" s="431">
        <v>5.71</v>
      </c>
      <c r="M657" s="431">
        <v>5.26</v>
      </c>
      <c r="N657" s="431">
        <v>5.35</v>
      </c>
      <c r="O657" s="431">
        <v>4.71</v>
      </c>
      <c r="P657" s="431">
        <v>4.0599999999999996</v>
      </c>
      <c r="Q657" s="179">
        <f t="shared" si="19"/>
        <v>5.6483333333333334</v>
      </c>
      <c r="R657" s="179" t="s">
        <v>994</v>
      </c>
    </row>
    <row r="658" spans="1:18" x14ac:dyDescent="0.15">
      <c r="A658" s="179" t="str">
        <f t="shared" si="18"/>
        <v>Durango_Flat Surface_270</v>
      </c>
      <c r="B658" s="501" t="s">
        <v>633</v>
      </c>
      <c r="C658" s="429">
        <v>0</v>
      </c>
      <c r="D658" s="429">
        <v>270</v>
      </c>
      <c r="E658" s="431">
        <v>4.29</v>
      </c>
      <c r="F658" s="431">
        <v>5.31</v>
      </c>
      <c r="G658" s="431">
        <v>6.54</v>
      </c>
      <c r="H658" s="431">
        <v>6.88</v>
      </c>
      <c r="I658" s="431">
        <v>7.12</v>
      </c>
      <c r="J658" s="431">
        <v>6.61</v>
      </c>
      <c r="K658" s="431">
        <v>5.94</v>
      </c>
      <c r="L658" s="431">
        <v>5.71</v>
      </c>
      <c r="M658" s="431">
        <v>5.26</v>
      </c>
      <c r="N658" s="431">
        <v>5.35</v>
      </c>
      <c r="O658" s="431">
        <v>4.71</v>
      </c>
      <c r="P658" s="431">
        <v>4.0599999999999996</v>
      </c>
      <c r="Q658" s="179">
        <f t="shared" si="19"/>
        <v>5.6483333333333334</v>
      </c>
      <c r="R658" s="179" t="s">
        <v>994</v>
      </c>
    </row>
    <row r="659" spans="1:18" x14ac:dyDescent="0.15">
      <c r="A659" s="179" t="str">
        <f t="shared" si="18"/>
        <v>Durango_Optimal Summer_90</v>
      </c>
      <c r="B659" s="501" t="s">
        <v>633</v>
      </c>
      <c r="C659" s="429">
        <v>9</v>
      </c>
      <c r="D659" s="429">
        <v>90</v>
      </c>
      <c r="E659" s="431">
        <v>3.88</v>
      </c>
      <c r="F659" s="431">
        <v>4.66</v>
      </c>
      <c r="G659" s="431">
        <v>5.53</v>
      </c>
      <c r="H659" s="431">
        <v>5.58</v>
      </c>
      <c r="I659" s="431">
        <v>5.6</v>
      </c>
      <c r="J659" s="431">
        <v>5.15</v>
      </c>
      <c r="K659" s="431">
        <v>4.66</v>
      </c>
      <c r="L659" s="431">
        <v>4.58</v>
      </c>
      <c r="M659" s="431">
        <v>4.34</v>
      </c>
      <c r="N659" s="431">
        <v>4.62</v>
      </c>
      <c r="O659" s="431">
        <v>4.26</v>
      </c>
      <c r="P659" s="431">
        <v>3.72</v>
      </c>
      <c r="Q659" s="179">
        <f t="shared" si="19"/>
        <v>4.7149999999999999</v>
      </c>
      <c r="R659" s="179" t="s">
        <v>958</v>
      </c>
    </row>
    <row r="660" spans="1:18" x14ac:dyDescent="0.15">
      <c r="A660" s="179" t="str">
        <f t="shared" si="18"/>
        <v>Durango_Optimal Summer_112.5</v>
      </c>
      <c r="B660" s="501" t="s">
        <v>633</v>
      </c>
      <c r="C660" s="429">
        <v>9</v>
      </c>
      <c r="D660" s="429">
        <v>112.5</v>
      </c>
      <c r="E660" s="431">
        <v>4.24</v>
      </c>
      <c r="F660" s="431">
        <v>5.0999999999999996</v>
      </c>
      <c r="G660" s="431">
        <v>6.05</v>
      </c>
      <c r="H660" s="431">
        <v>6.1</v>
      </c>
      <c r="I660" s="431">
        <v>6.12</v>
      </c>
      <c r="J660" s="431">
        <v>5.64</v>
      </c>
      <c r="K660" s="431">
        <v>5.0999999999999996</v>
      </c>
      <c r="L660" s="431">
        <v>5</v>
      </c>
      <c r="M660" s="431">
        <v>4.74</v>
      </c>
      <c r="N660" s="431">
        <v>5.0599999999999996</v>
      </c>
      <c r="O660" s="431">
        <v>4.66</v>
      </c>
      <c r="P660" s="431">
        <v>4.07</v>
      </c>
      <c r="Q660" s="179">
        <f t="shared" si="19"/>
        <v>5.1566666666666672</v>
      </c>
      <c r="R660" s="179" t="s">
        <v>958</v>
      </c>
    </row>
    <row r="661" spans="1:18" x14ac:dyDescent="0.15">
      <c r="A661" s="179" t="str">
        <f t="shared" si="18"/>
        <v>Durango_Optimal Summer_135</v>
      </c>
      <c r="B661" s="501" t="s">
        <v>633</v>
      </c>
      <c r="C661" s="429">
        <v>9</v>
      </c>
      <c r="D661" s="429">
        <v>135</v>
      </c>
      <c r="E661" s="431">
        <v>4.6100000000000003</v>
      </c>
      <c r="F661" s="431">
        <v>5.54</v>
      </c>
      <c r="G661" s="431">
        <v>6.56</v>
      </c>
      <c r="H661" s="431">
        <v>6.62</v>
      </c>
      <c r="I661" s="431">
        <v>6.65</v>
      </c>
      <c r="J661" s="431">
        <v>6.12</v>
      </c>
      <c r="K661" s="431">
        <v>5.54</v>
      </c>
      <c r="L661" s="431">
        <v>5.43</v>
      </c>
      <c r="M661" s="431">
        <v>5.15</v>
      </c>
      <c r="N661" s="431">
        <v>5.49</v>
      </c>
      <c r="O661" s="431">
        <v>5.05</v>
      </c>
      <c r="P661" s="431">
        <v>4.42</v>
      </c>
      <c r="Q661" s="179">
        <f t="shared" si="19"/>
        <v>5.5983333333333327</v>
      </c>
      <c r="R661" s="179" t="s">
        <v>958</v>
      </c>
    </row>
    <row r="662" spans="1:18" x14ac:dyDescent="0.15">
      <c r="A662" s="179" t="str">
        <f t="shared" si="18"/>
        <v>Durango_Optimal Summer_157.5</v>
      </c>
      <c r="B662" s="501" t="s">
        <v>633</v>
      </c>
      <c r="C662" s="429">
        <v>9</v>
      </c>
      <c r="D662" s="429">
        <v>157.5</v>
      </c>
      <c r="E662" s="431">
        <v>4.7300000000000004</v>
      </c>
      <c r="F662" s="431">
        <v>5.68</v>
      </c>
      <c r="G662" s="431">
        <v>6.74</v>
      </c>
      <c r="H662" s="431">
        <v>6.8</v>
      </c>
      <c r="I662" s="431">
        <v>6.82</v>
      </c>
      <c r="J662" s="431">
        <v>6.28</v>
      </c>
      <c r="K662" s="431">
        <v>5.68</v>
      </c>
      <c r="L662" s="431">
        <v>5.58</v>
      </c>
      <c r="M662" s="431">
        <v>5.28</v>
      </c>
      <c r="N662" s="431">
        <v>5.64</v>
      </c>
      <c r="O662" s="431">
        <v>5.19</v>
      </c>
      <c r="P662" s="431">
        <v>4.53</v>
      </c>
      <c r="Q662" s="179">
        <f t="shared" si="19"/>
        <v>5.7458333333333336</v>
      </c>
      <c r="R662" s="179" t="s">
        <v>958</v>
      </c>
    </row>
    <row r="663" spans="1:18" x14ac:dyDescent="0.15">
      <c r="A663" s="179" t="str">
        <f t="shared" si="18"/>
        <v>Durango_Optimal Summer_180</v>
      </c>
      <c r="B663" s="501" t="s">
        <v>633</v>
      </c>
      <c r="C663" s="429">
        <v>9</v>
      </c>
      <c r="D663" s="429">
        <v>180</v>
      </c>
      <c r="E663" s="431">
        <v>4.8499999999999996</v>
      </c>
      <c r="F663" s="431">
        <v>5.83</v>
      </c>
      <c r="G663" s="431">
        <v>6.91</v>
      </c>
      <c r="H663" s="431">
        <v>6.97</v>
      </c>
      <c r="I663" s="431">
        <v>7</v>
      </c>
      <c r="J663" s="431">
        <v>6.44</v>
      </c>
      <c r="K663" s="431">
        <v>5.83</v>
      </c>
      <c r="L663" s="431">
        <v>5.72</v>
      </c>
      <c r="M663" s="431">
        <v>5.42</v>
      </c>
      <c r="N663" s="431">
        <v>5.78</v>
      </c>
      <c r="O663" s="431">
        <v>5.32</v>
      </c>
      <c r="P663" s="431">
        <v>4.6500000000000004</v>
      </c>
      <c r="Q663" s="179">
        <f t="shared" si="19"/>
        <v>5.8933333333333335</v>
      </c>
      <c r="R663" s="179" t="s">
        <v>958</v>
      </c>
    </row>
    <row r="664" spans="1:18" x14ac:dyDescent="0.15">
      <c r="A664" s="179" t="str">
        <f t="shared" si="18"/>
        <v>Durango_Optimal Summer_202.5</v>
      </c>
      <c r="B664" s="501" t="s">
        <v>633</v>
      </c>
      <c r="C664" s="429">
        <v>9</v>
      </c>
      <c r="D664" s="429">
        <v>202.5</v>
      </c>
      <c r="E664" s="431">
        <v>4.7300000000000004</v>
      </c>
      <c r="F664" s="431">
        <v>5.68</v>
      </c>
      <c r="G664" s="431">
        <v>6.74</v>
      </c>
      <c r="H664" s="431">
        <v>6.8</v>
      </c>
      <c r="I664" s="431">
        <v>6.82</v>
      </c>
      <c r="J664" s="431">
        <v>6.28</v>
      </c>
      <c r="K664" s="431">
        <v>5.68</v>
      </c>
      <c r="L664" s="431">
        <v>5.58</v>
      </c>
      <c r="M664" s="431">
        <v>5.28</v>
      </c>
      <c r="N664" s="431">
        <v>5.64</v>
      </c>
      <c r="O664" s="431">
        <v>5.19</v>
      </c>
      <c r="P664" s="431">
        <v>4.53</v>
      </c>
      <c r="Q664" s="179">
        <f t="shared" si="19"/>
        <v>5.7458333333333336</v>
      </c>
      <c r="R664" s="179" t="s">
        <v>958</v>
      </c>
    </row>
    <row r="665" spans="1:18" x14ac:dyDescent="0.15">
      <c r="A665" s="179" t="str">
        <f t="shared" si="18"/>
        <v>Durango_Optimal Summer_225</v>
      </c>
      <c r="B665" s="501" t="s">
        <v>633</v>
      </c>
      <c r="C665" s="429">
        <v>9</v>
      </c>
      <c r="D665" s="429">
        <v>225</v>
      </c>
      <c r="E665" s="431">
        <v>4.6100000000000003</v>
      </c>
      <c r="F665" s="431">
        <v>5.54</v>
      </c>
      <c r="G665" s="431">
        <v>6.56</v>
      </c>
      <c r="H665" s="431">
        <v>6.62</v>
      </c>
      <c r="I665" s="431">
        <v>6.65</v>
      </c>
      <c r="J665" s="431">
        <v>6.12</v>
      </c>
      <c r="K665" s="431">
        <v>5.54</v>
      </c>
      <c r="L665" s="431">
        <v>5.43</v>
      </c>
      <c r="M665" s="431">
        <v>5.15</v>
      </c>
      <c r="N665" s="431">
        <v>5.49</v>
      </c>
      <c r="O665" s="431">
        <v>5.05</v>
      </c>
      <c r="P665" s="431">
        <v>4.42</v>
      </c>
      <c r="Q665" s="179">
        <f t="shared" si="19"/>
        <v>5.5983333333333327</v>
      </c>
      <c r="R665" s="179" t="s">
        <v>958</v>
      </c>
    </row>
    <row r="666" spans="1:18" x14ac:dyDescent="0.15">
      <c r="A666" s="179" t="str">
        <f t="shared" si="18"/>
        <v>Durango_Optimal Summer_247.5</v>
      </c>
      <c r="B666" s="501" t="s">
        <v>633</v>
      </c>
      <c r="C666" s="429">
        <v>9</v>
      </c>
      <c r="D666" s="429">
        <v>247.5</v>
      </c>
      <c r="E666" s="431">
        <v>4.24</v>
      </c>
      <c r="F666" s="431">
        <v>5.0999999999999996</v>
      </c>
      <c r="G666" s="431">
        <v>6.05</v>
      </c>
      <c r="H666" s="431">
        <v>6.1</v>
      </c>
      <c r="I666" s="431">
        <v>6.12</v>
      </c>
      <c r="J666" s="431">
        <v>5.64</v>
      </c>
      <c r="K666" s="431">
        <v>5.0999999999999996</v>
      </c>
      <c r="L666" s="431">
        <v>5</v>
      </c>
      <c r="M666" s="431">
        <v>4.74</v>
      </c>
      <c r="N666" s="431">
        <v>5.0599999999999996</v>
      </c>
      <c r="O666" s="431">
        <v>4.66</v>
      </c>
      <c r="P666" s="431">
        <v>4.07</v>
      </c>
      <c r="Q666" s="179">
        <f t="shared" si="19"/>
        <v>5.1566666666666672</v>
      </c>
      <c r="R666" s="179" t="s">
        <v>958</v>
      </c>
    </row>
    <row r="667" spans="1:18" x14ac:dyDescent="0.15">
      <c r="A667" s="179" t="str">
        <f t="shared" si="18"/>
        <v>Durango_Optimal Summer_270</v>
      </c>
      <c r="B667" s="501" t="s">
        <v>633</v>
      </c>
      <c r="C667" s="429">
        <v>9</v>
      </c>
      <c r="D667" s="429">
        <v>270</v>
      </c>
      <c r="E667" s="431">
        <v>3.88</v>
      </c>
      <c r="F667" s="431">
        <v>4.66</v>
      </c>
      <c r="G667" s="431">
        <v>5.53</v>
      </c>
      <c r="H667" s="431">
        <v>5.58</v>
      </c>
      <c r="I667" s="431">
        <v>5.6</v>
      </c>
      <c r="J667" s="431">
        <v>5.15</v>
      </c>
      <c r="K667" s="431">
        <v>4.66</v>
      </c>
      <c r="L667" s="431">
        <v>4.58</v>
      </c>
      <c r="M667" s="431">
        <v>4.34</v>
      </c>
      <c r="N667" s="431">
        <v>4.62</v>
      </c>
      <c r="O667" s="431">
        <v>4.26</v>
      </c>
      <c r="P667" s="431">
        <v>3.72</v>
      </c>
      <c r="Q667" s="179">
        <f t="shared" si="19"/>
        <v>4.7149999999999999</v>
      </c>
      <c r="R667" s="179" t="s">
        <v>958</v>
      </c>
    </row>
    <row r="668" spans="1:18" x14ac:dyDescent="0.15">
      <c r="A668" s="179" t="str">
        <f t="shared" si="18"/>
        <v>Durango_Optimal Year Round_90</v>
      </c>
      <c r="B668" s="501" t="s">
        <v>633</v>
      </c>
      <c r="C668" s="429">
        <v>24</v>
      </c>
      <c r="D668" s="429">
        <v>90</v>
      </c>
      <c r="E668" s="431">
        <v>4.46</v>
      </c>
      <c r="F668" s="431">
        <v>5.15</v>
      </c>
      <c r="G668" s="431">
        <v>5.76</v>
      </c>
      <c r="H668" s="431">
        <v>5.46</v>
      </c>
      <c r="I668" s="431">
        <v>5.21</v>
      </c>
      <c r="J668" s="431">
        <v>4.7300000000000004</v>
      </c>
      <c r="K668" s="431">
        <v>4.34</v>
      </c>
      <c r="L668" s="431">
        <v>4.41</v>
      </c>
      <c r="M668" s="431">
        <v>4.37</v>
      </c>
      <c r="N668" s="431">
        <v>4.9800000000000004</v>
      </c>
      <c r="O668" s="431">
        <v>4.87</v>
      </c>
      <c r="P668" s="431">
        <v>4.34</v>
      </c>
      <c r="Q668" s="179">
        <f t="shared" si="19"/>
        <v>4.839999999999999</v>
      </c>
      <c r="R668" s="179" t="s">
        <v>993</v>
      </c>
    </row>
    <row r="669" spans="1:18" x14ac:dyDescent="0.15">
      <c r="A669" s="179" t="str">
        <f t="shared" si="18"/>
        <v>Durango_Optimal Year Round_112.5</v>
      </c>
      <c r="B669" s="501" t="s">
        <v>633</v>
      </c>
      <c r="C669" s="429">
        <v>24</v>
      </c>
      <c r="D669" s="429">
        <v>112.5</v>
      </c>
      <c r="E669" s="431">
        <v>4.87</v>
      </c>
      <c r="F669" s="431">
        <v>5.64</v>
      </c>
      <c r="G669" s="431">
        <v>6.3</v>
      </c>
      <c r="H669" s="431">
        <v>5.98</v>
      </c>
      <c r="I669" s="431">
        <v>5.7</v>
      </c>
      <c r="J669" s="431">
        <v>5.17</v>
      </c>
      <c r="K669" s="431">
        <v>4.74</v>
      </c>
      <c r="L669" s="431">
        <v>4.82</v>
      </c>
      <c r="M669" s="431">
        <v>4.78</v>
      </c>
      <c r="N669" s="431">
        <v>5.45</v>
      </c>
      <c r="O669" s="431">
        <v>5.33</v>
      </c>
      <c r="P669" s="431">
        <v>4.74</v>
      </c>
      <c r="Q669" s="179">
        <f t="shared" si="19"/>
        <v>5.2933333333333339</v>
      </c>
      <c r="R669" s="179" t="s">
        <v>993</v>
      </c>
    </row>
    <row r="670" spans="1:18" x14ac:dyDescent="0.15">
      <c r="A670" s="179" t="str">
        <f t="shared" si="18"/>
        <v>Durango_Optimal Year Round_135</v>
      </c>
      <c r="B670" s="501" t="s">
        <v>633</v>
      </c>
      <c r="C670" s="429">
        <v>24</v>
      </c>
      <c r="D670" s="429">
        <v>135</v>
      </c>
      <c r="E670" s="431">
        <v>5.29</v>
      </c>
      <c r="F670" s="431">
        <v>6.12</v>
      </c>
      <c r="G670" s="431">
        <v>6.84</v>
      </c>
      <c r="H670" s="431">
        <v>6.49</v>
      </c>
      <c r="I670" s="431">
        <v>6.18</v>
      </c>
      <c r="J670" s="431">
        <v>5.61</v>
      </c>
      <c r="K670" s="431">
        <v>5.15</v>
      </c>
      <c r="L670" s="431">
        <v>5.23</v>
      </c>
      <c r="M670" s="431">
        <v>5.19</v>
      </c>
      <c r="N670" s="431">
        <v>5.92</v>
      </c>
      <c r="O670" s="431">
        <v>5.79</v>
      </c>
      <c r="P670" s="431">
        <v>5.15</v>
      </c>
      <c r="Q670" s="179">
        <f t="shared" si="19"/>
        <v>5.7466666666666661</v>
      </c>
      <c r="R670" s="179" t="s">
        <v>993</v>
      </c>
    </row>
    <row r="671" spans="1:18" x14ac:dyDescent="0.15">
      <c r="A671" s="179" t="str">
        <f t="shared" si="18"/>
        <v>Durango_Optimal Year Round_157.5</v>
      </c>
      <c r="B671" s="501" t="s">
        <v>633</v>
      </c>
      <c r="C671" s="429">
        <v>24</v>
      </c>
      <c r="D671" s="429">
        <v>157.5</v>
      </c>
      <c r="E671" s="431">
        <v>5.43</v>
      </c>
      <c r="F671" s="431">
        <v>6.28</v>
      </c>
      <c r="G671" s="431">
        <v>7.02</v>
      </c>
      <c r="H671" s="431">
        <v>6.66</v>
      </c>
      <c r="I671" s="431">
        <v>6.35</v>
      </c>
      <c r="J671" s="431">
        <v>5.76</v>
      </c>
      <c r="K671" s="431">
        <v>5.28</v>
      </c>
      <c r="L671" s="431">
        <v>5.37</v>
      </c>
      <c r="M671" s="431">
        <v>5.32</v>
      </c>
      <c r="N671" s="431">
        <v>6.07</v>
      </c>
      <c r="O671" s="431">
        <v>5.94</v>
      </c>
      <c r="P671" s="431">
        <v>5.28</v>
      </c>
      <c r="Q671" s="179">
        <f t="shared" si="19"/>
        <v>5.8966666666666674</v>
      </c>
      <c r="R671" s="179" t="s">
        <v>993</v>
      </c>
    </row>
    <row r="672" spans="1:18" x14ac:dyDescent="0.15">
      <c r="A672" s="179" t="str">
        <f t="shared" si="18"/>
        <v>Durango_Optimal Year Round_180</v>
      </c>
      <c r="B672" s="501" t="s">
        <v>633</v>
      </c>
      <c r="C672" s="429">
        <v>24</v>
      </c>
      <c r="D672" s="429">
        <v>180</v>
      </c>
      <c r="E672" s="431">
        <v>5.57</v>
      </c>
      <c r="F672" s="431">
        <v>6.44</v>
      </c>
      <c r="G672" s="431">
        <v>7.2</v>
      </c>
      <c r="H672" s="431">
        <v>6.83</v>
      </c>
      <c r="I672" s="431">
        <v>6.51</v>
      </c>
      <c r="J672" s="431">
        <v>5.91</v>
      </c>
      <c r="K672" s="431">
        <v>5.42</v>
      </c>
      <c r="L672" s="431">
        <v>5.51</v>
      </c>
      <c r="M672" s="431">
        <v>5.46</v>
      </c>
      <c r="N672" s="431">
        <v>6.23</v>
      </c>
      <c r="O672" s="431">
        <v>6.09</v>
      </c>
      <c r="P672" s="431">
        <v>5.42</v>
      </c>
      <c r="Q672" s="179">
        <f t="shared" si="19"/>
        <v>6.0491666666666672</v>
      </c>
      <c r="R672" s="179" t="s">
        <v>993</v>
      </c>
    </row>
    <row r="673" spans="1:18" x14ac:dyDescent="0.15">
      <c r="A673" s="179" t="str">
        <f t="shared" si="18"/>
        <v>Durango_Optimal Year Round_202.5</v>
      </c>
      <c r="B673" s="501" t="s">
        <v>633</v>
      </c>
      <c r="C673" s="429">
        <v>24</v>
      </c>
      <c r="D673" s="429">
        <v>202.5</v>
      </c>
      <c r="E673" s="431">
        <v>5.43</v>
      </c>
      <c r="F673" s="431">
        <v>6.28</v>
      </c>
      <c r="G673" s="431">
        <v>7.02</v>
      </c>
      <c r="H673" s="431">
        <v>6.66</v>
      </c>
      <c r="I673" s="431">
        <v>6.35</v>
      </c>
      <c r="J673" s="431">
        <v>5.76</v>
      </c>
      <c r="K673" s="431">
        <v>5.28</v>
      </c>
      <c r="L673" s="431">
        <v>5.37</v>
      </c>
      <c r="M673" s="431">
        <v>5.32</v>
      </c>
      <c r="N673" s="431">
        <v>6.07</v>
      </c>
      <c r="O673" s="431">
        <v>5.94</v>
      </c>
      <c r="P673" s="431">
        <v>5.28</v>
      </c>
      <c r="Q673" s="179">
        <f t="shared" si="19"/>
        <v>5.8966666666666674</v>
      </c>
      <c r="R673" s="179" t="s">
        <v>993</v>
      </c>
    </row>
    <row r="674" spans="1:18" x14ac:dyDescent="0.15">
      <c r="A674" s="179" t="str">
        <f t="shared" si="18"/>
        <v>Durango_Optimal Year Round_225</v>
      </c>
      <c r="B674" s="501" t="s">
        <v>633</v>
      </c>
      <c r="C674" s="429">
        <v>24</v>
      </c>
      <c r="D674" s="429">
        <v>225</v>
      </c>
      <c r="E674" s="431">
        <v>5.29</v>
      </c>
      <c r="F674" s="431">
        <v>6.12</v>
      </c>
      <c r="G674" s="431">
        <v>6.84</v>
      </c>
      <c r="H674" s="431">
        <v>6.49</v>
      </c>
      <c r="I674" s="431">
        <v>6.18</v>
      </c>
      <c r="J674" s="431">
        <v>5.61</v>
      </c>
      <c r="K674" s="431">
        <v>5.15</v>
      </c>
      <c r="L674" s="431">
        <v>5.23</v>
      </c>
      <c r="M674" s="431">
        <v>5.19</v>
      </c>
      <c r="N674" s="431">
        <v>5.92</v>
      </c>
      <c r="O674" s="431">
        <v>5.79</v>
      </c>
      <c r="P674" s="431">
        <v>5.15</v>
      </c>
      <c r="Q674" s="179">
        <f t="shared" si="19"/>
        <v>5.7466666666666661</v>
      </c>
      <c r="R674" s="179" t="s">
        <v>993</v>
      </c>
    </row>
    <row r="675" spans="1:18" x14ac:dyDescent="0.15">
      <c r="A675" s="179" t="str">
        <f t="shared" si="18"/>
        <v>Durango_Optimal Year Round_247.5</v>
      </c>
      <c r="B675" s="501" t="s">
        <v>633</v>
      </c>
      <c r="C675" s="429">
        <v>24</v>
      </c>
      <c r="D675" s="429">
        <v>247.5</v>
      </c>
      <c r="E675" s="431">
        <v>4.87</v>
      </c>
      <c r="F675" s="431">
        <v>5.64</v>
      </c>
      <c r="G675" s="431">
        <v>6.3</v>
      </c>
      <c r="H675" s="431">
        <v>5.98</v>
      </c>
      <c r="I675" s="431">
        <v>5.7</v>
      </c>
      <c r="J675" s="431">
        <v>5.17</v>
      </c>
      <c r="K675" s="431">
        <v>4.74</v>
      </c>
      <c r="L675" s="431">
        <v>4.82</v>
      </c>
      <c r="M675" s="431">
        <v>4.78</v>
      </c>
      <c r="N675" s="431">
        <v>5.45</v>
      </c>
      <c r="O675" s="431">
        <v>5.33</v>
      </c>
      <c r="P675" s="431">
        <v>4.74</v>
      </c>
      <c r="Q675" s="179">
        <f t="shared" si="19"/>
        <v>5.2933333333333339</v>
      </c>
      <c r="R675" s="179" t="s">
        <v>993</v>
      </c>
    </row>
    <row r="676" spans="1:18" x14ac:dyDescent="0.15">
      <c r="A676" s="179" t="str">
        <f t="shared" si="18"/>
        <v>Durango_Optimal Year Round_270</v>
      </c>
      <c r="B676" s="501" t="s">
        <v>633</v>
      </c>
      <c r="C676" s="429">
        <v>24</v>
      </c>
      <c r="D676" s="429">
        <v>270</v>
      </c>
      <c r="E676" s="431">
        <v>4.46</v>
      </c>
      <c r="F676" s="431">
        <v>5.15</v>
      </c>
      <c r="G676" s="431">
        <v>5.76</v>
      </c>
      <c r="H676" s="431">
        <v>5.46</v>
      </c>
      <c r="I676" s="431">
        <v>5.21</v>
      </c>
      <c r="J676" s="431">
        <v>4.7300000000000004</v>
      </c>
      <c r="K676" s="431">
        <v>4.34</v>
      </c>
      <c r="L676" s="431">
        <v>4.41</v>
      </c>
      <c r="M676" s="431">
        <v>4.37</v>
      </c>
      <c r="N676" s="431">
        <v>4.9800000000000004</v>
      </c>
      <c r="O676" s="431">
        <v>4.87</v>
      </c>
      <c r="P676" s="431">
        <v>4.34</v>
      </c>
      <c r="Q676" s="179">
        <f t="shared" si="19"/>
        <v>4.839999999999999</v>
      </c>
      <c r="R676" s="179" t="s">
        <v>993</v>
      </c>
    </row>
    <row r="677" spans="1:18" x14ac:dyDescent="0.15">
      <c r="A677" s="179" t="str">
        <f t="shared" si="18"/>
        <v>Ecatepec_Flat Surface_90</v>
      </c>
      <c r="B677" s="501" t="s">
        <v>1136</v>
      </c>
      <c r="C677" s="429">
        <v>0</v>
      </c>
      <c r="D677" s="429">
        <v>90</v>
      </c>
      <c r="E677" s="431">
        <v>4.74</v>
      </c>
      <c r="F677" s="431">
        <v>5.68</v>
      </c>
      <c r="G677" s="431">
        <v>6.47</v>
      </c>
      <c r="H677" s="431">
        <v>6.38</v>
      </c>
      <c r="I677" s="431">
        <v>6.21</v>
      </c>
      <c r="J677" s="431">
        <v>5.57</v>
      </c>
      <c r="K677" s="431">
        <v>5.48</v>
      </c>
      <c r="L677" s="431">
        <v>5.31</v>
      </c>
      <c r="M677" s="431">
        <v>4.88</v>
      </c>
      <c r="N677" s="431">
        <v>4.87</v>
      </c>
      <c r="O677" s="431">
        <v>4.7699999999999996</v>
      </c>
      <c r="P677" s="431">
        <v>4.34</v>
      </c>
      <c r="Q677" s="179">
        <f t="shared" si="19"/>
        <v>5.3916666666666666</v>
      </c>
      <c r="R677" s="179" t="s">
        <v>994</v>
      </c>
    </row>
    <row r="678" spans="1:18" x14ac:dyDescent="0.15">
      <c r="A678" s="179" t="str">
        <f t="shared" si="18"/>
        <v>Ecatepec_Flat Surface_112.5</v>
      </c>
      <c r="B678" s="501" t="s">
        <v>1136</v>
      </c>
      <c r="C678" s="429">
        <v>0</v>
      </c>
      <c r="D678" s="429">
        <v>112.5</v>
      </c>
      <c r="E678" s="431">
        <v>4.74</v>
      </c>
      <c r="F678" s="431">
        <v>5.68</v>
      </c>
      <c r="G678" s="431">
        <v>6.47</v>
      </c>
      <c r="H678" s="431">
        <v>6.38</v>
      </c>
      <c r="I678" s="431">
        <v>6.21</v>
      </c>
      <c r="J678" s="431">
        <v>5.57</v>
      </c>
      <c r="K678" s="431">
        <v>5.48</v>
      </c>
      <c r="L678" s="431">
        <v>5.31</v>
      </c>
      <c r="M678" s="431">
        <v>4.88</v>
      </c>
      <c r="N678" s="431">
        <v>4.87</v>
      </c>
      <c r="O678" s="431">
        <v>4.7699999999999996</v>
      </c>
      <c r="P678" s="431">
        <v>4.34</v>
      </c>
      <c r="Q678" s="179">
        <f t="shared" si="19"/>
        <v>5.3916666666666666</v>
      </c>
      <c r="R678" s="179" t="s">
        <v>994</v>
      </c>
    </row>
    <row r="679" spans="1:18" x14ac:dyDescent="0.15">
      <c r="A679" s="179" t="str">
        <f t="shared" si="18"/>
        <v>Ecatepec_Flat Surface_135</v>
      </c>
      <c r="B679" s="501" t="s">
        <v>1136</v>
      </c>
      <c r="C679" s="429">
        <v>0</v>
      </c>
      <c r="D679" s="429">
        <v>135</v>
      </c>
      <c r="E679" s="431">
        <v>4.74</v>
      </c>
      <c r="F679" s="431">
        <v>5.68</v>
      </c>
      <c r="G679" s="431">
        <v>6.47</v>
      </c>
      <c r="H679" s="431">
        <v>6.38</v>
      </c>
      <c r="I679" s="431">
        <v>6.21</v>
      </c>
      <c r="J679" s="431">
        <v>5.57</v>
      </c>
      <c r="K679" s="431">
        <v>5.48</v>
      </c>
      <c r="L679" s="431">
        <v>5.31</v>
      </c>
      <c r="M679" s="431">
        <v>4.88</v>
      </c>
      <c r="N679" s="431">
        <v>4.87</v>
      </c>
      <c r="O679" s="431">
        <v>4.7699999999999996</v>
      </c>
      <c r="P679" s="431">
        <v>4.34</v>
      </c>
      <c r="Q679" s="179">
        <f t="shared" si="19"/>
        <v>5.3916666666666666</v>
      </c>
      <c r="R679" s="179" t="s">
        <v>994</v>
      </c>
    </row>
    <row r="680" spans="1:18" x14ac:dyDescent="0.15">
      <c r="A680" s="179" t="str">
        <f t="shared" si="18"/>
        <v>Ecatepec_Flat Surface_157.5</v>
      </c>
      <c r="B680" s="501" t="s">
        <v>1136</v>
      </c>
      <c r="C680" s="429">
        <v>0</v>
      </c>
      <c r="D680" s="429">
        <v>157.5</v>
      </c>
      <c r="E680" s="431">
        <v>4.74</v>
      </c>
      <c r="F680" s="431">
        <v>5.68</v>
      </c>
      <c r="G680" s="431">
        <v>6.47</v>
      </c>
      <c r="H680" s="431">
        <v>6.38</v>
      </c>
      <c r="I680" s="431">
        <v>6.21</v>
      </c>
      <c r="J680" s="431">
        <v>5.57</v>
      </c>
      <c r="K680" s="431">
        <v>5.48</v>
      </c>
      <c r="L680" s="431">
        <v>5.31</v>
      </c>
      <c r="M680" s="431">
        <v>4.88</v>
      </c>
      <c r="N680" s="431">
        <v>4.87</v>
      </c>
      <c r="O680" s="431">
        <v>4.7699999999999996</v>
      </c>
      <c r="P680" s="431">
        <v>4.34</v>
      </c>
      <c r="Q680" s="179">
        <f t="shared" si="19"/>
        <v>5.3916666666666666</v>
      </c>
      <c r="R680" s="179" t="s">
        <v>994</v>
      </c>
    </row>
    <row r="681" spans="1:18" x14ac:dyDescent="0.15">
      <c r="A681" s="179" t="str">
        <f t="shared" si="18"/>
        <v>Ecatepec_Flat Surface_180</v>
      </c>
      <c r="B681" s="501" t="s">
        <v>1136</v>
      </c>
      <c r="C681" s="429">
        <v>0</v>
      </c>
      <c r="D681" s="429">
        <v>180</v>
      </c>
      <c r="E681" s="431">
        <v>4.74</v>
      </c>
      <c r="F681" s="431">
        <v>5.68</v>
      </c>
      <c r="G681" s="431">
        <v>6.47</v>
      </c>
      <c r="H681" s="431">
        <v>6.38</v>
      </c>
      <c r="I681" s="431">
        <v>6.21</v>
      </c>
      <c r="J681" s="431">
        <v>5.57</v>
      </c>
      <c r="K681" s="431">
        <v>5.48</v>
      </c>
      <c r="L681" s="431">
        <v>5.31</v>
      </c>
      <c r="M681" s="431">
        <v>4.88</v>
      </c>
      <c r="N681" s="431">
        <v>4.87</v>
      </c>
      <c r="O681" s="431">
        <v>4.7699999999999996</v>
      </c>
      <c r="P681" s="431">
        <v>4.34</v>
      </c>
      <c r="Q681" s="179">
        <f t="shared" si="19"/>
        <v>5.3916666666666666</v>
      </c>
      <c r="R681" s="179" t="s">
        <v>994</v>
      </c>
    </row>
    <row r="682" spans="1:18" x14ac:dyDescent="0.15">
      <c r="A682" s="179" t="str">
        <f t="shared" si="18"/>
        <v>Ecatepec_Flat Surface_202.5</v>
      </c>
      <c r="B682" s="501" t="s">
        <v>1136</v>
      </c>
      <c r="C682" s="429">
        <v>0</v>
      </c>
      <c r="D682" s="429">
        <v>202.5</v>
      </c>
      <c r="E682" s="431">
        <v>4.74</v>
      </c>
      <c r="F682" s="431">
        <v>5.68</v>
      </c>
      <c r="G682" s="431">
        <v>6.47</v>
      </c>
      <c r="H682" s="431">
        <v>6.38</v>
      </c>
      <c r="I682" s="431">
        <v>6.21</v>
      </c>
      <c r="J682" s="431">
        <v>5.57</v>
      </c>
      <c r="K682" s="431">
        <v>5.48</v>
      </c>
      <c r="L682" s="431">
        <v>5.31</v>
      </c>
      <c r="M682" s="431">
        <v>4.88</v>
      </c>
      <c r="N682" s="431">
        <v>4.87</v>
      </c>
      <c r="O682" s="431">
        <v>4.7699999999999996</v>
      </c>
      <c r="P682" s="431">
        <v>4.34</v>
      </c>
      <c r="Q682" s="179">
        <f t="shared" si="19"/>
        <v>5.3916666666666666</v>
      </c>
      <c r="R682" s="179" t="s">
        <v>994</v>
      </c>
    </row>
    <row r="683" spans="1:18" x14ac:dyDescent="0.15">
      <c r="A683" s="179" t="str">
        <f t="shared" si="18"/>
        <v>Ecatepec_Flat Surface_225</v>
      </c>
      <c r="B683" s="501" t="s">
        <v>1136</v>
      </c>
      <c r="C683" s="429">
        <v>0</v>
      </c>
      <c r="D683" s="429">
        <v>225</v>
      </c>
      <c r="E683" s="431">
        <v>4.74</v>
      </c>
      <c r="F683" s="431">
        <v>5.68</v>
      </c>
      <c r="G683" s="431">
        <v>6.47</v>
      </c>
      <c r="H683" s="431">
        <v>6.38</v>
      </c>
      <c r="I683" s="431">
        <v>6.21</v>
      </c>
      <c r="J683" s="431">
        <v>5.57</v>
      </c>
      <c r="K683" s="431">
        <v>5.48</v>
      </c>
      <c r="L683" s="431">
        <v>5.31</v>
      </c>
      <c r="M683" s="431">
        <v>4.88</v>
      </c>
      <c r="N683" s="431">
        <v>4.87</v>
      </c>
      <c r="O683" s="431">
        <v>4.7699999999999996</v>
      </c>
      <c r="P683" s="431">
        <v>4.34</v>
      </c>
      <c r="Q683" s="179">
        <f t="shared" si="19"/>
        <v>5.3916666666666666</v>
      </c>
      <c r="R683" s="179" t="s">
        <v>994</v>
      </c>
    </row>
    <row r="684" spans="1:18" x14ac:dyDescent="0.15">
      <c r="A684" s="179" t="str">
        <f t="shared" si="18"/>
        <v>Ecatepec_Flat Surface_247.5</v>
      </c>
      <c r="B684" s="501" t="s">
        <v>1136</v>
      </c>
      <c r="C684" s="429">
        <v>0</v>
      </c>
      <c r="D684" s="429">
        <v>247.5</v>
      </c>
      <c r="E684" s="431">
        <v>4.74</v>
      </c>
      <c r="F684" s="431">
        <v>5.68</v>
      </c>
      <c r="G684" s="431">
        <v>6.47</v>
      </c>
      <c r="H684" s="431">
        <v>6.38</v>
      </c>
      <c r="I684" s="431">
        <v>6.21</v>
      </c>
      <c r="J684" s="431">
        <v>5.57</v>
      </c>
      <c r="K684" s="431">
        <v>5.48</v>
      </c>
      <c r="L684" s="431">
        <v>5.31</v>
      </c>
      <c r="M684" s="431">
        <v>4.88</v>
      </c>
      <c r="N684" s="431">
        <v>4.87</v>
      </c>
      <c r="O684" s="431">
        <v>4.7699999999999996</v>
      </c>
      <c r="P684" s="431">
        <v>4.34</v>
      </c>
      <c r="Q684" s="179">
        <f t="shared" si="19"/>
        <v>5.3916666666666666</v>
      </c>
      <c r="R684" s="179" t="s">
        <v>994</v>
      </c>
    </row>
    <row r="685" spans="1:18" x14ac:dyDescent="0.15">
      <c r="A685" s="179" t="str">
        <f t="shared" si="18"/>
        <v>Ecatepec_Flat Surface_270</v>
      </c>
      <c r="B685" s="501" t="s">
        <v>1136</v>
      </c>
      <c r="C685" s="429">
        <v>0</v>
      </c>
      <c r="D685" s="429">
        <v>270</v>
      </c>
      <c r="E685" s="431">
        <v>4.74</v>
      </c>
      <c r="F685" s="431">
        <v>5.68</v>
      </c>
      <c r="G685" s="431">
        <v>6.47</v>
      </c>
      <c r="H685" s="431">
        <v>6.38</v>
      </c>
      <c r="I685" s="431">
        <v>6.21</v>
      </c>
      <c r="J685" s="431">
        <v>5.57</v>
      </c>
      <c r="K685" s="431">
        <v>5.48</v>
      </c>
      <c r="L685" s="431">
        <v>5.31</v>
      </c>
      <c r="M685" s="431">
        <v>4.88</v>
      </c>
      <c r="N685" s="431">
        <v>4.87</v>
      </c>
      <c r="O685" s="431">
        <v>4.7699999999999996</v>
      </c>
      <c r="P685" s="431">
        <v>4.34</v>
      </c>
      <c r="Q685" s="179">
        <f t="shared" si="19"/>
        <v>5.3916666666666666</v>
      </c>
      <c r="R685" s="179" t="s">
        <v>994</v>
      </c>
    </row>
    <row r="686" spans="1:18" x14ac:dyDescent="0.15">
      <c r="A686" s="179" t="str">
        <f t="shared" si="18"/>
        <v>Ecatepec_Optimal Summer_90</v>
      </c>
      <c r="B686" s="501" t="s">
        <v>1136</v>
      </c>
      <c r="C686" s="429">
        <v>5</v>
      </c>
      <c r="D686" s="429">
        <v>90</v>
      </c>
      <c r="E686" s="431">
        <v>4</v>
      </c>
      <c r="F686" s="431">
        <v>4.72</v>
      </c>
      <c r="G686" s="431">
        <v>5.29</v>
      </c>
      <c r="H686" s="431">
        <v>5.13</v>
      </c>
      <c r="I686" s="431">
        <v>4.93</v>
      </c>
      <c r="J686" s="431">
        <v>4.49</v>
      </c>
      <c r="K686" s="431">
        <v>4.41</v>
      </c>
      <c r="L686" s="431">
        <v>4.25</v>
      </c>
      <c r="M686" s="431">
        <v>3.94</v>
      </c>
      <c r="N686" s="431">
        <v>4.01</v>
      </c>
      <c r="O686" s="431">
        <v>4</v>
      </c>
      <c r="P686" s="431">
        <v>3.66</v>
      </c>
      <c r="Q686" s="179">
        <f t="shared" si="19"/>
        <v>4.4024999999999999</v>
      </c>
      <c r="R686" s="179" t="s">
        <v>958</v>
      </c>
    </row>
    <row r="687" spans="1:18" x14ac:dyDescent="0.15">
      <c r="A687" s="179" t="str">
        <f t="shared" si="18"/>
        <v>Ecatepec_Optimal Summer_112.5</v>
      </c>
      <c r="B687" s="501" t="s">
        <v>1136</v>
      </c>
      <c r="C687" s="429">
        <v>5</v>
      </c>
      <c r="D687" s="429">
        <v>112.5</v>
      </c>
      <c r="E687" s="431">
        <v>4.38</v>
      </c>
      <c r="F687" s="431">
        <v>5.16</v>
      </c>
      <c r="G687" s="431">
        <v>5.78</v>
      </c>
      <c r="H687" s="431">
        <v>5.61</v>
      </c>
      <c r="I687" s="431">
        <v>5.39</v>
      </c>
      <c r="J687" s="431">
        <v>4.91</v>
      </c>
      <c r="K687" s="431">
        <v>4.82</v>
      </c>
      <c r="L687" s="431">
        <v>4.6500000000000004</v>
      </c>
      <c r="M687" s="431">
        <v>4.3099999999999996</v>
      </c>
      <c r="N687" s="431">
        <v>4.38</v>
      </c>
      <c r="O687" s="431">
        <v>4.38</v>
      </c>
      <c r="P687" s="431">
        <v>4.01</v>
      </c>
      <c r="Q687" s="179">
        <f t="shared" si="19"/>
        <v>4.8150000000000004</v>
      </c>
      <c r="R687" s="179" t="s">
        <v>958</v>
      </c>
    </row>
    <row r="688" spans="1:18" x14ac:dyDescent="0.15">
      <c r="A688" s="179" t="str">
        <f t="shared" si="18"/>
        <v>Ecatepec_Optimal Summer_135</v>
      </c>
      <c r="B688" s="501" t="s">
        <v>1136</v>
      </c>
      <c r="C688" s="429">
        <v>5</v>
      </c>
      <c r="D688" s="429">
        <v>135</v>
      </c>
      <c r="E688" s="431">
        <v>4.75</v>
      </c>
      <c r="F688" s="431">
        <v>5.6</v>
      </c>
      <c r="G688" s="431">
        <v>6.28</v>
      </c>
      <c r="H688" s="431">
        <v>6.09</v>
      </c>
      <c r="I688" s="431">
        <v>5.85</v>
      </c>
      <c r="J688" s="431">
        <v>5.33</v>
      </c>
      <c r="K688" s="431">
        <v>5.23</v>
      </c>
      <c r="L688" s="431">
        <v>5.04</v>
      </c>
      <c r="M688" s="431">
        <v>4.68</v>
      </c>
      <c r="N688" s="431">
        <v>4.76</v>
      </c>
      <c r="O688" s="431">
        <v>4.75</v>
      </c>
      <c r="P688" s="431">
        <v>4.3499999999999996</v>
      </c>
      <c r="Q688" s="179">
        <f t="shared" si="19"/>
        <v>5.2258333333333331</v>
      </c>
      <c r="R688" s="179" t="s">
        <v>958</v>
      </c>
    </row>
    <row r="689" spans="1:18" x14ac:dyDescent="0.15">
      <c r="A689" s="179" t="str">
        <f t="shared" si="18"/>
        <v>Ecatepec_Optimal Summer_157.5</v>
      </c>
      <c r="B689" s="501" t="s">
        <v>1136</v>
      </c>
      <c r="C689" s="429">
        <v>5</v>
      </c>
      <c r="D689" s="429">
        <v>157.5</v>
      </c>
      <c r="E689" s="431">
        <v>4.88</v>
      </c>
      <c r="F689" s="431">
        <v>5.75</v>
      </c>
      <c r="G689" s="431">
        <v>6.44</v>
      </c>
      <c r="H689" s="431">
        <v>6.25</v>
      </c>
      <c r="I689" s="431">
        <v>6.01</v>
      </c>
      <c r="J689" s="431">
        <v>5.47</v>
      </c>
      <c r="K689" s="431">
        <v>5.37</v>
      </c>
      <c r="L689" s="431">
        <v>5.18</v>
      </c>
      <c r="M689" s="431">
        <v>4.8099999999999996</v>
      </c>
      <c r="N689" s="431">
        <v>4.88</v>
      </c>
      <c r="O689" s="431">
        <v>4.88</v>
      </c>
      <c r="P689" s="431">
        <v>4.47</v>
      </c>
      <c r="Q689" s="179">
        <f t="shared" si="19"/>
        <v>5.3658333333333337</v>
      </c>
      <c r="R689" s="179" t="s">
        <v>958</v>
      </c>
    </row>
    <row r="690" spans="1:18" x14ac:dyDescent="0.15">
      <c r="A690" s="179" t="str">
        <f t="shared" si="18"/>
        <v>Ecatepec_Optimal Summer_180</v>
      </c>
      <c r="B690" s="501" t="s">
        <v>1136</v>
      </c>
      <c r="C690" s="429">
        <v>5</v>
      </c>
      <c r="D690" s="429">
        <v>180</v>
      </c>
      <c r="E690" s="431">
        <v>5</v>
      </c>
      <c r="F690" s="431">
        <v>5.9</v>
      </c>
      <c r="G690" s="431">
        <v>6.61</v>
      </c>
      <c r="H690" s="431">
        <v>6.41</v>
      </c>
      <c r="I690" s="431">
        <v>6.16</v>
      </c>
      <c r="J690" s="431">
        <v>5.61</v>
      </c>
      <c r="K690" s="431">
        <v>5.51</v>
      </c>
      <c r="L690" s="431">
        <v>5.31</v>
      </c>
      <c r="M690" s="431">
        <v>4.93</v>
      </c>
      <c r="N690" s="431">
        <v>5.01</v>
      </c>
      <c r="O690" s="431">
        <v>5</v>
      </c>
      <c r="P690" s="431">
        <v>4.58</v>
      </c>
      <c r="Q690" s="179">
        <f t="shared" si="19"/>
        <v>5.5025000000000004</v>
      </c>
      <c r="R690" s="179" t="s">
        <v>958</v>
      </c>
    </row>
    <row r="691" spans="1:18" x14ac:dyDescent="0.15">
      <c r="A691" s="179" t="str">
        <f t="shared" si="18"/>
        <v>Ecatepec_Optimal Summer_202.5</v>
      </c>
      <c r="B691" s="501" t="s">
        <v>1136</v>
      </c>
      <c r="C691" s="429">
        <v>5</v>
      </c>
      <c r="D691" s="429">
        <v>202.5</v>
      </c>
      <c r="E691" s="431">
        <v>4.88</v>
      </c>
      <c r="F691" s="431">
        <v>5.75</v>
      </c>
      <c r="G691" s="431">
        <v>6.44</v>
      </c>
      <c r="H691" s="431">
        <v>6.25</v>
      </c>
      <c r="I691" s="431">
        <v>6.01</v>
      </c>
      <c r="J691" s="431">
        <v>5.47</v>
      </c>
      <c r="K691" s="431">
        <v>5.37</v>
      </c>
      <c r="L691" s="431">
        <v>5.18</v>
      </c>
      <c r="M691" s="431">
        <v>4.8099999999999996</v>
      </c>
      <c r="N691" s="431">
        <v>4.88</v>
      </c>
      <c r="O691" s="431">
        <v>4.88</v>
      </c>
      <c r="P691" s="431">
        <v>4.47</v>
      </c>
      <c r="Q691" s="179">
        <f t="shared" si="19"/>
        <v>5.3658333333333337</v>
      </c>
      <c r="R691" s="179" t="s">
        <v>958</v>
      </c>
    </row>
    <row r="692" spans="1:18" x14ac:dyDescent="0.15">
      <c r="A692" s="179" t="str">
        <f t="shared" si="18"/>
        <v>Ecatepec_Optimal Summer_225</v>
      </c>
      <c r="B692" s="501" t="s">
        <v>1136</v>
      </c>
      <c r="C692" s="429">
        <v>5</v>
      </c>
      <c r="D692" s="429">
        <v>225</v>
      </c>
      <c r="E692" s="431">
        <v>4.75</v>
      </c>
      <c r="F692" s="431">
        <v>5.6</v>
      </c>
      <c r="G692" s="431">
        <v>6.28</v>
      </c>
      <c r="H692" s="431">
        <v>6.09</v>
      </c>
      <c r="I692" s="431">
        <v>5.85</v>
      </c>
      <c r="J692" s="431">
        <v>5.33</v>
      </c>
      <c r="K692" s="431">
        <v>5.23</v>
      </c>
      <c r="L692" s="431">
        <v>5.04</v>
      </c>
      <c r="M692" s="431">
        <v>4.68</v>
      </c>
      <c r="N692" s="431">
        <v>4.76</v>
      </c>
      <c r="O692" s="431">
        <v>4.75</v>
      </c>
      <c r="P692" s="431">
        <v>4.3499999999999996</v>
      </c>
      <c r="Q692" s="179">
        <f t="shared" si="19"/>
        <v>5.2258333333333331</v>
      </c>
      <c r="R692" s="179" t="s">
        <v>958</v>
      </c>
    </row>
    <row r="693" spans="1:18" x14ac:dyDescent="0.15">
      <c r="A693" s="179" t="str">
        <f t="shared" si="18"/>
        <v>Ecatepec_Optimal Summer_247.5</v>
      </c>
      <c r="B693" s="501" t="s">
        <v>1136</v>
      </c>
      <c r="C693" s="429">
        <v>5</v>
      </c>
      <c r="D693" s="429">
        <v>247.5</v>
      </c>
      <c r="E693" s="431">
        <v>4.38</v>
      </c>
      <c r="F693" s="431">
        <v>5.16</v>
      </c>
      <c r="G693" s="431">
        <v>5.78</v>
      </c>
      <c r="H693" s="431">
        <v>5.61</v>
      </c>
      <c r="I693" s="431">
        <v>5.39</v>
      </c>
      <c r="J693" s="431">
        <v>4.91</v>
      </c>
      <c r="K693" s="431">
        <v>4.82</v>
      </c>
      <c r="L693" s="431">
        <v>4.6500000000000004</v>
      </c>
      <c r="M693" s="431">
        <v>4.3099999999999996</v>
      </c>
      <c r="N693" s="431">
        <v>4.38</v>
      </c>
      <c r="O693" s="431">
        <v>4.38</v>
      </c>
      <c r="P693" s="431">
        <v>4.01</v>
      </c>
      <c r="Q693" s="179">
        <f t="shared" si="19"/>
        <v>4.8150000000000004</v>
      </c>
      <c r="R693" s="179" t="s">
        <v>958</v>
      </c>
    </row>
    <row r="694" spans="1:18" x14ac:dyDescent="0.15">
      <c r="A694" s="179" t="str">
        <f t="shared" si="18"/>
        <v>Ecatepec_Optimal Summer_270</v>
      </c>
      <c r="B694" s="501" t="s">
        <v>1136</v>
      </c>
      <c r="C694" s="429">
        <v>5</v>
      </c>
      <c r="D694" s="429">
        <v>270</v>
      </c>
      <c r="E694" s="431">
        <v>4</v>
      </c>
      <c r="F694" s="431">
        <v>4.72</v>
      </c>
      <c r="G694" s="431">
        <v>5.29</v>
      </c>
      <c r="H694" s="431">
        <v>5.13</v>
      </c>
      <c r="I694" s="431">
        <v>4.93</v>
      </c>
      <c r="J694" s="431">
        <v>4.49</v>
      </c>
      <c r="K694" s="431">
        <v>4.41</v>
      </c>
      <c r="L694" s="431">
        <v>4.25</v>
      </c>
      <c r="M694" s="431">
        <v>3.94</v>
      </c>
      <c r="N694" s="431">
        <v>4.01</v>
      </c>
      <c r="O694" s="431">
        <v>4</v>
      </c>
      <c r="P694" s="431">
        <v>3.66</v>
      </c>
      <c r="Q694" s="179">
        <f t="shared" si="19"/>
        <v>4.4024999999999999</v>
      </c>
      <c r="R694" s="179" t="s">
        <v>958</v>
      </c>
    </row>
    <row r="695" spans="1:18" x14ac:dyDescent="0.15">
      <c r="A695" s="179" t="str">
        <f t="shared" si="18"/>
        <v>Ecatepec_Optimal Year Round_90</v>
      </c>
      <c r="B695" s="501" t="s">
        <v>1136</v>
      </c>
      <c r="C695" s="429">
        <v>20</v>
      </c>
      <c r="D695" s="429">
        <v>90</v>
      </c>
      <c r="E695" s="431">
        <v>4.62</v>
      </c>
      <c r="F695" s="431">
        <v>5.22</v>
      </c>
      <c r="G695" s="431">
        <v>5.5</v>
      </c>
      <c r="H695" s="431">
        <v>5.04</v>
      </c>
      <c r="I695" s="431">
        <v>4.63</v>
      </c>
      <c r="J695" s="431">
        <v>4.46</v>
      </c>
      <c r="K695" s="431">
        <v>4.3600000000000003</v>
      </c>
      <c r="L695" s="431">
        <v>4.1100000000000003</v>
      </c>
      <c r="M695" s="431">
        <v>3.98</v>
      </c>
      <c r="N695" s="431">
        <v>4.2699999999999996</v>
      </c>
      <c r="O695" s="431">
        <v>4.55</v>
      </c>
      <c r="P695" s="431">
        <v>4.24</v>
      </c>
      <c r="Q695" s="179">
        <f t="shared" si="19"/>
        <v>4.5816666666666661</v>
      </c>
      <c r="R695" s="179" t="s">
        <v>993</v>
      </c>
    </row>
    <row r="696" spans="1:18" x14ac:dyDescent="0.15">
      <c r="A696" s="179" t="str">
        <f t="shared" si="18"/>
        <v>Ecatepec_Optimal Year Round_112.5</v>
      </c>
      <c r="B696" s="501" t="s">
        <v>1136</v>
      </c>
      <c r="C696" s="429">
        <v>20</v>
      </c>
      <c r="D696" s="429">
        <v>112.5</v>
      </c>
      <c r="E696" s="431">
        <v>5.0599999999999996</v>
      </c>
      <c r="F696" s="431">
        <v>5.7</v>
      </c>
      <c r="G696" s="431">
        <v>6.02</v>
      </c>
      <c r="H696" s="431">
        <v>5.51</v>
      </c>
      <c r="I696" s="431">
        <v>5.07</v>
      </c>
      <c r="J696" s="431">
        <v>4.88</v>
      </c>
      <c r="K696" s="431">
        <v>4.7699999999999996</v>
      </c>
      <c r="L696" s="431">
        <v>4.5</v>
      </c>
      <c r="M696" s="431">
        <v>4.3499999999999996</v>
      </c>
      <c r="N696" s="431">
        <v>4.67</v>
      </c>
      <c r="O696" s="431">
        <v>4.9800000000000004</v>
      </c>
      <c r="P696" s="431">
        <v>4.6399999999999997</v>
      </c>
      <c r="Q696" s="179">
        <f t="shared" si="19"/>
        <v>5.0125000000000002</v>
      </c>
      <c r="R696" s="179" t="s">
        <v>993</v>
      </c>
    </row>
    <row r="697" spans="1:18" x14ac:dyDescent="0.15">
      <c r="A697" s="179" t="str">
        <f t="shared" si="18"/>
        <v>Ecatepec_Optimal Year Round_135</v>
      </c>
      <c r="B697" s="501" t="s">
        <v>1136</v>
      </c>
      <c r="C697" s="429">
        <v>20</v>
      </c>
      <c r="D697" s="429">
        <v>135</v>
      </c>
      <c r="E697" s="431">
        <v>5.49</v>
      </c>
      <c r="F697" s="431">
        <v>6.19</v>
      </c>
      <c r="G697" s="431">
        <v>6.54</v>
      </c>
      <c r="H697" s="431">
        <v>5.98</v>
      </c>
      <c r="I697" s="431">
        <v>5.5</v>
      </c>
      <c r="J697" s="431">
        <v>5.3</v>
      </c>
      <c r="K697" s="431">
        <v>5.18</v>
      </c>
      <c r="L697" s="431">
        <v>4.88</v>
      </c>
      <c r="M697" s="431">
        <v>4.72</v>
      </c>
      <c r="N697" s="431">
        <v>5.07</v>
      </c>
      <c r="O697" s="431">
        <v>5.41</v>
      </c>
      <c r="P697" s="431">
        <v>5.04</v>
      </c>
      <c r="Q697" s="179">
        <f t="shared" si="19"/>
        <v>5.4416666666666673</v>
      </c>
      <c r="R697" s="179" t="s">
        <v>993</v>
      </c>
    </row>
    <row r="698" spans="1:18" x14ac:dyDescent="0.15">
      <c r="A698" s="179" t="str">
        <f t="shared" si="18"/>
        <v>Ecatepec_Optimal Year Round_157.5</v>
      </c>
      <c r="B698" s="501" t="s">
        <v>1136</v>
      </c>
      <c r="C698" s="429">
        <v>20</v>
      </c>
      <c r="D698" s="429">
        <v>157.5</v>
      </c>
      <c r="E698" s="431">
        <v>5.64</v>
      </c>
      <c r="F698" s="431">
        <v>6.36</v>
      </c>
      <c r="G698" s="431">
        <v>6.71</v>
      </c>
      <c r="H698" s="431">
        <v>6.14</v>
      </c>
      <c r="I698" s="431">
        <v>5.65</v>
      </c>
      <c r="J698" s="431">
        <v>5.44</v>
      </c>
      <c r="K698" s="431">
        <v>5.31</v>
      </c>
      <c r="L698" s="431">
        <v>5.01</v>
      </c>
      <c r="M698" s="431">
        <v>4.8499999999999996</v>
      </c>
      <c r="N698" s="431">
        <v>5.21</v>
      </c>
      <c r="O698" s="431">
        <v>5.55</v>
      </c>
      <c r="P698" s="431">
        <v>5.17</v>
      </c>
      <c r="Q698" s="179">
        <f t="shared" si="19"/>
        <v>5.586666666666666</v>
      </c>
      <c r="R698" s="179" t="s">
        <v>993</v>
      </c>
    </row>
    <row r="699" spans="1:18" x14ac:dyDescent="0.15">
      <c r="A699" s="179" t="str">
        <f t="shared" si="18"/>
        <v>Ecatepec_Optimal Year Round_180</v>
      </c>
      <c r="B699" s="501" t="s">
        <v>1136</v>
      </c>
      <c r="C699" s="429">
        <v>20</v>
      </c>
      <c r="D699" s="429">
        <v>180</v>
      </c>
      <c r="E699" s="431">
        <v>5.78</v>
      </c>
      <c r="F699" s="431">
        <v>6.52</v>
      </c>
      <c r="G699" s="431">
        <v>6.88</v>
      </c>
      <c r="H699" s="431">
        <v>6.3</v>
      </c>
      <c r="I699" s="431">
        <v>5.79</v>
      </c>
      <c r="J699" s="431">
        <v>5.58</v>
      </c>
      <c r="K699" s="431">
        <v>5.45</v>
      </c>
      <c r="L699" s="431">
        <v>5.14</v>
      </c>
      <c r="M699" s="431">
        <v>4.97</v>
      </c>
      <c r="N699" s="431">
        <v>5.34</v>
      </c>
      <c r="O699" s="431">
        <v>5.69</v>
      </c>
      <c r="P699" s="431">
        <v>5.3</v>
      </c>
      <c r="Q699" s="179">
        <f t="shared" si="19"/>
        <v>5.7283333333333326</v>
      </c>
      <c r="R699" s="179" t="s">
        <v>993</v>
      </c>
    </row>
    <row r="700" spans="1:18" x14ac:dyDescent="0.15">
      <c r="A700" s="179" t="str">
        <f t="shared" si="18"/>
        <v>Ecatepec_Optimal Year Round_202.5</v>
      </c>
      <c r="B700" s="501" t="s">
        <v>1136</v>
      </c>
      <c r="C700" s="429">
        <v>20</v>
      </c>
      <c r="D700" s="429">
        <v>202.5</v>
      </c>
      <c r="E700" s="431">
        <v>5.64</v>
      </c>
      <c r="F700" s="431">
        <v>6.36</v>
      </c>
      <c r="G700" s="431">
        <v>6.71</v>
      </c>
      <c r="H700" s="431">
        <v>6.14</v>
      </c>
      <c r="I700" s="431">
        <v>5.65</v>
      </c>
      <c r="J700" s="431">
        <v>5.44</v>
      </c>
      <c r="K700" s="431">
        <v>5.31</v>
      </c>
      <c r="L700" s="431">
        <v>5.01</v>
      </c>
      <c r="M700" s="431">
        <v>4.8499999999999996</v>
      </c>
      <c r="N700" s="431">
        <v>5.21</v>
      </c>
      <c r="O700" s="431">
        <v>5.55</v>
      </c>
      <c r="P700" s="431">
        <v>5.17</v>
      </c>
      <c r="Q700" s="179">
        <f t="shared" si="19"/>
        <v>5.586666666666666</v>
      </c>
      <c r="R700" s="179" t="s">
        <v>993</v>
      </c>
    </row>
    <row r="701" spans="1:18" x14ac:dyDescent="0.15">
      <c r="A701" s="179" t="str">
        <f t="shared" si="18"/>
        <v>Ecatepec_Optimal Year Round_225</v>
      </c>
      <c r="B701" s="501" t="s">
        <v>1136</v>
      </c>
      <c r="C701" s="429">
        <v>20</v>
      </c>
      <c r="D701" s="429">
        <v>225</v>
      </c>
      <c r="E701" s="431">
        <v>5.49</v>
      </c>
      <c r="F701" s="431">
        <v>6.19</v>
      </c>
      <c r="G701" s="431">
        <v>6.54</v>
      </c>
      <c r="H701" s="431">
        <v>5.98</v>
      </c>
      <c r="I701" s="431">
        <v>5.5</v>
      </c>
      <c r="J701" s="431">
        <v>5.3</v>
      </c>
      <c r="K701" s="431">
        <v>5.18</v>
      </c>
      <c r="L701" s="431">
        <v>4.88</v>
      </c>
      <c r="M701" s="431">
        <v>4.72</v>
      </c>
      <c r="N701" s="431">
        <v>5.07</v>
      </c>
      <c r="O701" s="431">
        <v>5.41</v>
      </c>
      <c r="P701" s="431">
        <v>5.04</v>
      </c>
      <c r="Q701" s="179">
        <f t="shared" si="19"/>
        <v>5.4416666666666673</v>
      </c>
      <c r="R701" s="179" t="s">
        <v>993</v>
      </c>
    </row>
    <row r="702" spans="1:18" x14ac:dyDescent="0.15">
      <c r="A702" s="179" t="str">
        <f t="shared" si="18"/>
        <v>Ecatepec_Optimal Year Round_247.5</v>
      </c>
      <c r="B702" s="501" t="s">
        <v>1136</v>
      </c>
      <c r="C702" s="429">
        <v>20</v>
      </c>
      <c r="D702" s="429">
        <v>247.5</v>
      </c>
      <c r="E702" s="431">
        <v>5.0599999999999996</v>
      </c>
      <c r="F702" s="431">
        <v>5.7</v>
      </c>
      <c r="G702" s="431">
        <v>6.02</v>
      </c>
      <c r="H702" s="431">
        <v>5.51</v>
      </c>
      <c r="I702" s="431">
        <v>5.07</v>
      </c>
      <c r="J702" s="431">
        <v>4.88</v>
      </c>
      <c r="K702" s="431">
        <v>4.7699999999999996</v>
      </c>
      <c r="L702" s="431">
        <v>4.5</v>
      </c>
      <c r="M702" s="431">
        <v>4.3499999999999996</v>
      </c>
      <c r="N702" s="431">
        <v>4.67</v>
      </c>
      <c r="O702" s="431">
        <v>4.9800000000000004</v>
      </c>
      <c r="P702" s="431">
        <v>4.6399999999999997</v>
      </c>
      <c r="Q702" s="179">
        <f t="shared" si="19"/>
        <v>5.0125000000000002</v>
      </c>
      <c r="R702" s="179" t="s">
        <v>993</v>
      </c>
    </row>
    <row r="703" spans="1:18" x14ac:dyDescent="0.15">
      <c r="A703" s="179" t="str">
        <f t="shared" si="18"/>
        <v>Ecatepec_Optimal Year Round_270</v>
      </c>
      <c r="B703" s="501" t="s">
        <v>1136</v>
      </c>
      <c r="C703" s="429">
        <v>20</v>
      </c>
      <c r="D703" s="429">
        <v>270</v>
      </c>
      <c r="E703" s="431">
        <v>4.62</v>
      </c>
      <c r="F703" s="431">
        <v>5.22</v>
      </c>
      <c r="G703" s="431">
        <v>5.5</v>
      </c>
      <c r="H703" s="431">
        <v>5.04</v>
      </c>
      <c r="I703" s="431">
        <v>4.63</v>
      </c>
      <c r="J703" s="431">
        <v>4.46</v>
      </c>
      <c r="K703" s="431">
        <v>4.3600000000000003</v>
      </c>
      <c r="L703" s="431">
        <v>4.1100000000000003</v>
      </c>
      <c r="M703" s="431">
        <v>3.98</v>
      </c>
      <c r="N703" s="431">
        <v>4.2699999999999996</v>
      </c>
      <c r="O703" s="431">
        <v>4.55</v>
      </c>
      <c r="P703" s="431">
        <v>4.24</v>
      </c>
      <c r="Q703" s="179">
        <f t="shared" si="19"/>
        <v>4.5816666666666661</v>
      </c>
      <c r="R703" s="179" t="s">
        <v>993</v>
      </c>
    </row>
    <row r="704" spans="1:18" x14ac:dyDescent="0.15">
      <c r="A704" s="179" t="str">
        <f t="shared" si="18"/>
        <v>Ensenada_Flat Surface_90</v>
      </c>
      <c r="B704" s="501" t="s">
        <v>1137</v>
      </c>
      <c r="C704" s="429">
        <v>0</v>
      </c>
      <c r="D704" s="429">
        <v>90</v>
      </c>
      <c r="E704" s="431">
        <v>3.38</v>
      </c>
      <c r="F704" s="431">
        <v>4.16</v>
      </c>
      <c r="G704" s="431">
        <v>5.21</v>
      </c>
      <c r="H704" s="431">
        <v>6.33</v>
      </c>
      <c r="I704" s="431">
        <v>6.29</v>
      </c>
      <c r="J704" s="431">
        <v>6.1</v>
      </c>
      <c r="K704" s="431">
        <v>6.25</v>
      </c>
      <c r="L704" s="431">
        <v>6.08</v>
      </c>
      <c r="M704" s="431">
        <v>5.34</v>
      </c>
      <c r="N704" s="431">
        <v>4.3499999999999996</v>
      </c>
      <c r="O704" s="431">
        <v>3.65</v>
      </c>
      <c r="P704" s="431">
        <v>3.14</v>
      </c>
      <c r="Q704" s="179">
        <f t="shared" si="19"/>
        <v>5.0233333333333334</v>
      </c>
      <c r="R704" s="179" t="s">
        <v>994</v>
      </c>
    </row>
    <row r="705" spans="1:18" x14ac:dyDescent="0.15">
      <c r="A705" s="179" t="str">
        <f t="shared" si="18"/>
        <v>Ensenada_Flat Surface_112.5</v>
      </c>
      <c r="B705" s="501" t="s">
        <v>1137</v>
      </c>
      <c r="C705" s="429">
        <v>0</v>
      </c>
      <c r="D705" s="429">
        <v>112.5</v>
      </c>
      <c r="E705" s="431">
        <v>3.38</v>
      </c>
      <c r="F705" s="431">
        <v>4.16</v>
      </c>
      <c r="G705" s="431">
        <v>5.21</v>
      </c>
      <c r="H705" s="431">
        <v>6.33</v>
      </c>
      <c r="I705" s="431">
        <v>6.29</v>
      </c>
      <c r="J705" s="431">
        <v>6.1</v>
      </c>
      <c r="K705" s="431">
        <v>6.25</v>
      </c>
      <c r="L705" s="431">
        <v>6.08</v>
      </c>
      <c r="M705" s="431">
        <v>5.34</v>
      </c>
      <c r="N705" s="431">
        <v>4.3499999999999996</v>
      </c>
      <c r="O705" s="431">
        <v>3.65</v>
      </c>
      <c r="P705" s="431">
        <v>3.14</v>
      </c>
      <c r="Q705" s="179">
        <f t="shared" si="19"/>
        <v>5.0233333333333334</v>
      </c>
      <c r="R705" s="179" t="s">
        <v>994</v>
      </c>
    </row>
    <row r="706" spans="1:18" x14ac:dyDescent="0.15">
      <c r="A706" s="179" t="str">
        <f t="shared" ref="A706:A769" si="20">B706&amp;"_"&amp;R706&amp;"_"&amp;D706</f>
        <v>Ensenada_Flat Surface_135</v>
      </c>
      <c r="B706" s="501" t="s">
        <v>1137</v>
      </c>
      <c r="C706" s="429">
        <v>0</v>
      </c>
      <c r="D706" s="429">
        <v>135</v>
      </c>
      <c r="E706" s="431">
        <v>3.38</v>
      </c>
      <c r="F706" s="431">
        <v>4.16</v>
      </c>
      <c r="G706" s="431">
        <v>5.21</v>
      </c>
      <c r="H706" s="431">
        <v>6.33</v>
      </c>
      <c r="I706" s="431">
        <v>6.29</v>
      </c>
      <c r="J706" s="431">
        <v>6.1</v>
      </c>
      <c r="K706" s="431">
        <v>6.25</v>
      </c>
      <c r="L706" s="431">
        <v>6.08</v>
      </c>
      <c r="M706" s="431">
        <v>5.34</v>
      </c>
      <c r="N706" s="431">
        <v>4.3499999999999996</v>
      </c>
      <c r="O706" s="431">
        <v>3.65</v>
      </c>
      <c r="P706" s="431">
        <v>3.14</v>
      </c>
      <c r="Q706" s="179">
        <f t="shared" ref="Q706:Q769" si="21">AVERAGE(E706:P706)</f>
        <v>5.0233333333333334</v>
      </c>
      <c r="R706" s="179" t="s">
        <v>994</v>
      </c>
    </row>
    <row r="707" spans="1:18" x14ac:dyDescent="0.15">
      <c r="A707" s="179" t="str">
        <f t="shared" si="20"/>
        <v>Ensenada_Flat Surface_157.5</v>
      </c>
      <c r="B707" s="501" t="s">
        <v>1137</v>
      </c>
      <c r="C707" s="429">
        <v>0</v>
      </c>
      <c r="D707" s="429">
        <v>157.5</v>
      </c>
      <c r="E707" s="431">
        <v>3.38</v>
      </c>
      <c r="F707" s="431">
        <v>4.16</v>
      </c>
      <c r="G707" s="431">
        <v>5.21</v>
      </c>
      <c r="H707" s="431">
        <v>6.33</v>
      </c>
      <c r="I707" s="431">
        <v>6.29</v>
      </c>
      <c r="J707" s="431">
        <v>6.1</v>
      </c>
      <c r="K707" s="431">
        <v>6.25</v>
      </c>
      <c r="L707" s="431">
        <v>6.08</v>
      </c>
      <c r="M707" s="431">
        <v>5.34</v>
      </c>
      <c r="N707" s="431">
        <v>4.3499999999999996</v>
      </c>
      <c r="O707" s="431">
        <v>3.65</v>
      </c>
      <c r="P707" s="431">
        <v>3.14</v>
      </c>
      <c r="Q707" s="179">
        <f t="shared" si="21"/>
        <v>5.0233333333333334</v>
      </c>
      <c r="R707" s="179" t="s">
        <v>994</v>
      </c>
    </row>
    <row r="708" spans="1:18" x14ac:dyDescent="0.15">
      <c r="A708" s="179" t="str">
        <f t="shared" si="20"/>
        <v>Ensenada_Flat Surface_180</v>
      </c>
      <c r="B708" s="501" t="s">
        <v>1137</v>
      </c>
      <c r="C708" s="429">
        <v>0</v>
      </c>
      <c r="D708" s="429">
        <v>180</v>
      </c>
      <c r="E708" s="431">
        <v>3.38</v>
      </c>
      <c r="F708" s="431">
        <v>4.16</v>
      </c>
      <c r="G708" s="431">
        <v>5.21</v>
      </c>
      <c r="H708" s="431">
        <v>6.33</v>
      </c>
      <c r="I708" s="431">
        <v>6.29</v>
      </c>
      <c r="J708" s="431">
        <v>6.1</v>
      </c>
      <c r="K708" s="431">
        <v>6.25</v>
      </c>
      <c r="L708" s="431">
        <v>6.08</v>
      </c>
      <c r="M708" s="431">
        <v>5.34</v>
      </c>
      <c r="N708" s="431">
        <v>4.3499999999999996</v>
      </c>
      <c r="O708" s="431">
        <v>3.65</v>
      </c>
      <c r="P708" s="431">
        <v>3.14</v>
      </c>
      <c r="Q708" s="179">
        <f t="shared" si="21"/>
        <v>5.0233333333333334</v>
      </c>
      <c r="R708" s="179" t="s">
        <v>994</v>
      </c>
    </row>
    <row r="709" spans="1:18" x14ac:dyDescent="0.15">
      <c r="A709" s="179" t="str">
        <f t="shared" si="20"/>
        <v>Ensenada_Flat Surface_202.5</v>
      </c>
      <c r="B709" s="501" t="s">
        <v>1137</v>
      </c>
      <c r="C709" s="429">
        <v>0</v>
      </c>
      <c r="D709" s="429">
        <v>202.5</v>
      </c>
      <c r="E709" s="431">
        <v>3.38</v>
      </c>
      <c r="F709" s="431">
        <v>4.16</v>
      </c>
      <c r="G709" s="431">
        <v>5.21</v>
      </c>
      <c r="H709" s="431">
        <v>6.33</v>
      </c>
      <c r="I709" s="431">
        <v>6.29</v>
      </c>
      <c r="J709" s="431">
        <v>6.1</v>
      </c>
      <c r="K709" s="431">
        <v>6.25</v>
      </c>
      <c r="L709" s="431">
        <v>6.08</v>
      </c>
      <c r="M709" s="431">
        <v>5.34</v>
      </c>
      <c r="N709" s="431">
        <v>4.3499999999999996</v>
      </c>
      <c r="O709" s="431">
        <v>3.65</v>
      </c>
      <c r="P709" s="431">
        <v>3.14</v>
      </c>
      <c r="Q709" s="179">
        <f t="shared" si="21"/>
        <v>5.0233333333333334</v>
      </c>
      <c r="R709" s="179" t="s">
        <v>994</v>
      </c>
    </row>
    <row r="710" spans="1:18" x14ac:dyDescent="0.15">
      <c r="A710" s="179" t="str">
        <f t="shared" si="20"/>
        <v>Ensenada_Flat Surface_225</v>
      </c>
      <c r="B710" s="501" t="s">
        <v>1137</v>
      </c>
      <c r="C710" s="429">
        <v>0</v>
      </c>
      <c r="D710" s="429">
        <v>225</v>
      </c>
      <c r="E710" s="431">
        <v>3.38</v>
      </c>
      <c r="F710" s="431">
        <v>4.16</v>
      </c>
      <c r="G710" s="431">
        <v>5.21</v>
      </c>
      <c r="H710" s="431">
        <v>6.33</v>
      </c>
      <c r="I710" s="431">
        <v>6.29</v>
      </c>
      <c r="J710" s="431">
        <v>6.1</v>
      </c>
      <c r="K710" s="431">
        <v>6.25</v>
      </c>
      <c r="L710" s="431">
        <v>6.08</v>
      </c>
      <c r="M710" s="431">
        <v>5.34</v>
      </c>
      <c r="N710" s="431">
        <v>4.3499999999999996</v>
      </c>
      <c r="O710" s="431">
        <v>3.65</v>
      </c>
      <c r="P710" s="431">
        <v>3.14</v>
      </c>
      <c r="Q710" s="179">
        <f t="shared" si="21"/>
        <v>5.0233333333333334</v>
      </c>
      <c r="R710" s="179" t="s">
        <v>994</v>
      </c>
    </row>
    <row r="711" spans="1:18" x14ac:dyDescent="0.15">
      <c r="A711" s="179" t="str">
        <f t="shared" si="20"/>
        <v>Ensenada_Flat Surface_247.5</v>
      </c>
      <c r="B711" s="501" t="s">
        <v>1137</v>
      </c>
      <c r="C711" s="429">
        <v>0</v>
      </c>
      <c r="D711" s="429">
        <v>247.5</v>
      </c>
      <c r="E711" s="431">
        <v>3.38</v>
      </c>
      <c r="F711" s="431">
        <v>4.16</v>
      </c>
      <c r="G711" s="431">
        <v>5.21</v>
      </c>
      <c r="H711" s="431">
        <v>6.33</v>
      </c>
      <c r="I711" s="431">
        <v>6.29</v>
      </c>
      <c r="J711" s="431">
        <v>6.1</v>
      </c>
      <c r="K711" s="431">
        <v>6.25</v>
      </c>
      <c r="L711" s="431">
        <v>6.08</v>
      </c>
      <c r="M711" s="431">
        <v>5.34</v>
      </c>
      <c r="N711" s="431">
        <v>4.3499999999999996</v>
      </c>
      <c r="O711" s="431">
        <v>3.65</v>
      </c>
      <c r="P711" s="431">
        <v>3.14</v>
      </c>
      <c r="Q711" s="179">
        <f t="shared" si="21"/>
        <v>5.0233333333333334</v>
      </c>
      <c r="R711" s="179" t="s">
        <v>994</v>
      </c>
    </row>
    <row r="712" spans="1:18" x14ac:dyDescent="0.15">
      <c r="A712" s="179" t="str">
        <f t="shared" si="20"/>
        <v>Ensenada_Flat Surface_270</v>
      </c>
      <c r="B712" s="501" t="s">
        <v>1137</v>
      </c>
      <c r="C712" s="429">
        <v>0</v>
      </c>
      <c r="D712" s="429">
        <v>270</v>
      </c>
      <c r="E712" s="431">
        <v>3.38</v>
      </c>
      <c r="F712" s="431">
        <v>4.16</v>
      </c>
      <c r="G712" s="431">
        <v>5.21</v>
      </c>
      <c r="H712" s="431">
        <v>6.33</v>
      </c>
      <c r="I712" s="431">
        <v>6.29</v>
      </c>
      <c r="J712" s="431">
        <v>6.1</v>
      </c>
      <c r="K712" s="431">
        <v>6.25</v>
      </c>
      <c r="L712" s="431">
        <v>6.08</v>
      </c>
      <c r="M712" s="431">
        <v>5.34</v>
      </c>
      <c r="N712" s="431">
        <v>4.3499999999999996</v>
      </c>
      <c r="O712" s="431">
        <v>3.65</v>
      </c>
      <c r="P712" s="431">
        <v>3.14</v>
      </c>
      <c r="Q712" s="179">
        <f t="shared" si="21"/>
        <v>5.0233333333333334</v>
      </c>
      <c r="R712" s="179" t="s">
        <v>994</v>
      </c>
    </row>
    <row r="713" spans="1:18" x14ac:dyDescent="0.15">
      <c r="A713" s="179" t="str">
        <f t="shared" si="20"/>
        <v>Ensenada_Optimal Summer_90</v>
      </c>
      <c r="B713" s="501" t="s">
        <v>1137</v>
      </c>
      <c r="C713" s="429">
        <v>17</v>
      </c>
      <c r="D713" s="429">
        <v>90</v>
      </c>
      <c r="E713" s="431">
        <v>3.47</v>
      </c>
      <c r="F713" s="431">
        <v>3.99</v>
      </c>
      <c r="G713" s="431">
        <v>4.62</v>
      </c>
      <c r="H713" s="431">
        <v>5.26</v>
      </c>
      <c r="I713" s="431">
        <v>4.96</v>
      </c>
      <c r="J713" s="431">
        <v>4.74</v>
      </c>
      <c r="K713" s="431">
        <v>4.88</v>
      </c>
      <c r="L713" s="431">
        <v>4.91</v>
      </c>
      <c r="M713" s="431">
        <v>4.5999999999999996</v>
      </c>
      <c r="N713" s="431">
        <v>4.04</v>
      </c>
      <c r="O713" s="431">
        <v>3.69</v>
      </c>
      <c r="P713" s="431">
        <v>3.3</v>
      </c>
      <c r="Q713" s="179">
        <f t="shared" si="21"/>
        <v>4.371666666666667</v>
      </c>
      <c r="R713" s="179" t="s">
        <v>958</v>
      </c>
    </row>
    <row r="714" spans="1:18" x14ac:dyDescent="0.15">
      <c r="A714" s="179" t="str">
        <f t="shared" si="20"/>
        <v>Ensenada_Optimal Summer_112.5</v>
      </c>
      <c r="B714" s="501" t="s">
        <v>1137</v>
      </c>
      <c r="C714" s="429">
        <v>17</v>
      </c>
      <c r="D714" s="429">
        <v>112.5</v>
      </c>
      <c r="E714" s="431">
        <v>3.8</v>
      </c>
      <c r="F714" s="431">
        <v>4.37</v>
      </c>
      <c r="G714" s="431">
        <v>5.0599999999999996</v>
      </c>
      <c r="H714" s="431">
        <v>5.76</v>
      </c>
      <c r="I714" s="431">
        <v>5.42</v>
      </c>
      <c r="J714" s="431">
        <v>5.18</v>
      </c>
      <c r="K714" s="431">
        <v>5.34</v>
      </c>
      <c r="L714" s="431">
        <v>5.37</v>
      </c>
      <c r="M714" s="431">
        <v>5.03</v>
      </c>
      <c r="N714" s="431">
        <v>4.42</v>
      </c>
      <c r="O714" s="431">
        <v>4.03</v>
      </c>
      <c r="P714" s="431">
        <v>3.61</v>
      </c>
      <c r="Q714" s="179">
        <f t="shared" si="21"/>
        <v>4.7825000000000006</v>
      </c>
      <c r="R714" s="179" t="s">
        <v>958</v>
      </c>
    </row>
    <row r="715" spans="1:18" x14ac:dyDescent="0.15">
      <c r="A715" s="179" t="str">
        <f t="shared" si="20"/>
        <v>Ensenada_Optimal Summer_135</v>
      </c>
      <c r="B715" s="501" t="s">
        <v>1137</v>
      </c>
      <c r="C715" s="429">
        <v>17</v>
      </c>
      <c r="D715" s="429">
        <v>135</v>
      </c>
      <c r="E715" s="431">
        <v>4.12</v>
      </c>
      <c r="F715" s="431">
        <v>4.74</v>
      </c>
      <c r="G715" s="431">
        <v>5.49</v>
      </c>
      <c r="H715" s="431">
        <v>6.25</v>
      </c>
      <c r="I715" s="431">
        <v>5.89</v>
      </c>
      <c r="J715" s="431">
        <v>5.62</v>
      </c>
      <c r="K715" s="431">
        <v>5.8</v>
      </c>
      <c r="L715" s="431">
        <v>5.83</v>
      </c>
      <c r="M715" s="431">
        <v>5.46</v>
      </c>
      <c r="N715" s="431">
        <v>4.8</v>
      </c>
      <c r="O715" s="431">
        <v>4.38</v>
      </c>
      <c r="P715" s="431">
        <v>3.92</v>
      </c>
      <c r="Q715" s="179">
        <f t="shared" si="21"/>
        <v>5.1916666666666664</v>
      </c>
      <c r="R715" s="179" t="s">
        <v>958</v>
      </c>
    </row>
    <row r="716" spans="1:18" x14ac:dyDescent="0.15">
      <c r="A716" s="179" t="str">
        <f t="shared" si="20"/>
        <v>Ensenada_Optimal Summer_157.5</v>
      </c>
      <c r="B716" s="501" t="s">
        <v>1137</v>
      </c>
      <c r="C716" s="429">
        <v>17</v>
      </c>
      <c r="D716" s="429">
        <v>157.5</v>
      </c>
      <c r="E716" s="431">
        <v>4.2300000000000004</v>
      </c>
      <c r="F716" s="431">
        <v>4.87</v>
      </c>
      <c r="G716" s="431">
        <v>5.64</v>
      </c>
      <c r="H716" s="431">
        <v>6.42</v>
      </c>
      <c r="I716" s="431">
        <v>6.04</v>
      </c>
      <c r="J716" s="431">
        <v>5.77</v>
      </c>
      <c r="K716" s="431">
        <v>5.95</v>
      </c>
      <c r="L716" s="431">
        <v>5.99</v>
      </c>
      <c r="M716" s="431">
        <v>5.61</v>
      </c>
      <c r="N716" s="431">
        <v>4.92</v>
      </c>
      <c r="O716" s="431">
        <v>4.49</v>
      </c>
      <c r="P716" s="431">
        <v>4.03</v>
      </c>
      <c r="Q716" s="179">
        <f t="shared" si="21"/>
        <v>5.330000000000001</v>
      </c>
      <c r="R716" s="179" t="s">
        <v>958</v>
      </c>
    </row>
    <row r="717" spans="1:18" x14ac:dyDescent="0.15">
      <c r="A717" s="179" t="str">
        <f t="shared" si="20"/>
        <v>Ensenada_Optimal Summer_180</v>
      </c>
      <c r="B717" s="501" t="s">
        <v>1137</v>
      </c>
      <c r="C717" s="429">
        <v>17</v>
      </c>
      <c r="D717" s="429">
        <v>180</v>
      </c>
      <c r="E717" s="431">
        <v>4.34</v>
      </c>
      <c r="F717" s="431">
        <v>4.99</v>
      </c>
      <c r="G717" s="431">
        <v>5.78</v>
      </c>
      <c r="H717" s="431">
        <v>6.58</v>
      </c>
      <c r="I717" s="431">
        <v>6.2</v>
      </c>
      <c r="J717" s="431">
        <v>5.92</v>
      </c>
      <c r="K717" s="431">
        <v>6.1</v>
      </c>
      <c r="L717" s="431">
        <v>6.14</v>
      </c>
      <c r="M717" s="431">
        <v>5.75</v>
      </c>
      <c r="N717" s="431">
        <v>5.05</v>
      </c>
      <c r="O717" s="431">
        <v>4.6100000000000003</v>
      </c>
      <c r="P717" s="431">
        <v>4.13</v>
      </c>
      <c r="Q717" s="179">
        <f t="shared" si="21"/>
        <v>5.4658333333333324</v>
      </c>
      <c r="R717" s="179" t="s">
        <v>958</v>
      </c>
    </row>
    <row r="718" spans="1:18" x14ac:dyDescent="0.15">
      <c r="A718" s="179" t="str">
        <f t="shared" si="20"/>
        <v>Ensenada_Optimal Summer_202.5</v>
      </c>
      <c r="B718" s="501" t="s">
        <v>1137</v>
      </c>
      <c r="C718" s="429">
        <v>17</v>
      </c>
      <c r="D718" s="429">
        <v>202.5</v>
      </c>
      <c r="E718" s="431">
        <v>4.2300000000000004</v>
      </c>
      <c r="F718" s="431">
        <v>4.87</v>
      </c>
      <c r="G718" s="431">
        <v>5.64</v>
      </c>
      <c r="H718" s="431">
        <v>6.42</v>
      </c>
      <c r="I718" s="431">
        <v>6.04</v>
      </c>
      <c r="J718" s="431">
        <v>5.77</v>
      </c>
      <c r="K718" s="431">
        <v>5.95</v>
      </c>
      <c r="L718" s="431">
        <v>5.99</v>
      </c>
      <c r="M718" s="431">
        <v>5.61</v>
      </c>
      <c r="N718" s="431">
        <v>4.92</v>
      </c>
      <c r="O718" s="431">
        <v>4.49</v>
      </c>
      <c r="P718" s="431">
        <v>4.03</v>
      </c>
      <c r="Q718" s="179">
        <f t="shared" si="21"/>
        <v>5.330000000000001</v>
      </c>
      <c r="R718" s="179" t="s">
        <v>958</v>
      </c>
    </row>
    <row r="719" spans="1:18" x14ac:dyDescent="0.15">
      <c r="A719" s="179" t="str">
        <f t="shared" si="20"/>
        <v>Ensenada_Optimal Summer_225</v>
      </c>
      <c r="B719" s="501" t="s">
        <v>1137</v>
      </c>
      <c r="C719" s="429">
        <v>17</v>
      </c>
      <c r="D719" s="429">
        <v>225</v>
      </c>
      <c r="E719" s="431">
        <v>4.12</v>
      </c>
      <c r="F719" s="431">
        <v>4.74</v>
      </c>
      <c r="G719" s="431">
        <v>5.49</v>
      </c>
      <c r="H719" s="431">
        <v>6.25</v>
      </c>
      <c r="I719" s="431">
        <v>5.89</v>
      </c>
      <c r="J719" s="431">
        <v>5.62</v>
      </c>
      <c r="K719" s="431">
        <v>5.8</v>
      </c>
      <c r="L719" s="431">
        <v>5.83</v>
      </c>
      <c r="M719" s="431">
        <v>5.46</v>
      </c>
      <c r="N719" s="431">
        <v>4.8</v>
      </c>
      <c r="O719" s="431">
        <v>4.38</v>
      </c>
      <c r="P719" s="431">
        <v>3.92</v>
      </c>
      <c r="Q719" s="179">
        <f t="shared" si="21"/>
        <v>5.1916666666666664</v>
      </c>
      <c r="R719" s="179" t="s">
        <v>958</v>
      </c>
    </row>
    <row r="720" spans="1:18" x14ac:dyDescent="0.15">
      <c r="A720" s="179" t="str">
        <f t="shared" si="20"/>
        <v>Ensenada_Optimal Summer_247.5</v>
      </c>
      <c r="B720" s="501" t="s">
        <v>1137</v>
      </c>
      <c r="C720" s="429">
        <v>17</v>
      </c>
      <c r="D720" s="429">
        <v>247.5</v>
      </c>
      <c r="E720" s="431">
        <v>3.8</v>
      </c>
      <c r="F720" s="431">
        <v>4.37</v>
      </c>
      <c r="G720" s="431">
        <v>5.0599999999999996</v>
      </c>
      <c r="H720" s="431">
        <v>5.76</v>
      </c>
      <c r="I720" s="431">
        <v>5.42</v>
      </c>
      <c r="J720" s="431">
        <v>5.18</v>
      </c>
      <c r="K720" s="431">
        <v>5.34</v>
      </c>
      <c r="L720" s="431">
        <v>5.37</v>
      </c>
      <c r="M720" s="431">
        <v>5.03</v>
      </c>
      <c r="N720" s="431">
        <v>4.42</v>
      </c>
      <c r="O720" s="431">
        <v>4.03</v>
      </c>
      <c r="P720" s="431">
        <v>3.61</v>
      </c>
      <c r="Q720" s="179">
        <f t="shared" si="21"/>
        <v>4.7825000000000006</v>
      </c>
      <c r="R720" s="179" t="s">
        <v>958</v>
      </c>
    </row>
    <row r="721" spans="1:18" x14ac:dyDescent="0.15">
      <c r="A721" s="179" t="str">
        <f t="shared" si="20"/>
        <v>Ensenada_Optimal Summer_270</v>
      </c>
      <c r="B721" s="501" t="s">
        <v>1137</v>
      </c>
      <c r="C721" s="429">
        <v>17</v>
      </c>
      <c r="D721" s="429">
        <v>270</v>
      </c>
      <c r="E721" s="431">
        <v>3.47</v>
      </c>
      <c r="F721" s="431">
        <v>3.99</v>
      </c>
      <c r="G721" s="431">
        <v>4.62</v>
      </c>
      <c r="H721" s="431">
        <v>5.26</v>
      </c>
      <c r="I721" s="431">
        <v>4.96</v>
      </c>
      <c r="J721" s="431">
        <v>4.74</v>
      </c>
      <c r="K721" s="431">
        <v>4.88</v>
      </c>
      <c r="L721" s="431">
        <v>4.91</v>
      </c>
      <c r="M721" s="431">
        <v>4.5999999999999996</v>
      </c>
      <c r="N721" s="431">
        <v>4.04</v>
      </c>
      <c r="O721" s="431">
        <v>3.69</v>
      </c>
      <c r="P721" s="431">
        <v>3.3</v>
      </c>
      <c r="Q721" s="179">
        <f t="shared" si="21"/>
        <v>4.371666666666667</v>
      </c>
      <c r="R721" s="179" t="s">
        <v>958</v>
      </c>
    </row>
    <row r="722" spans="1:18" x14ac:dyDescent="0.15">
      <c r="A722" s="179" t="str">
        <f t="shared" si="20"/>
        <v>Ensenada_Optimal Year Round_90</v>
      </c>
      <c r="B722" s="501" t="s">
        <v>1137</v>
      </c>
      <c r="C722" s="429">
        <v>32</v>
      </c>
      <c r="D722" s="429">
        <v>90</v>
      </c>
      <c r="E722" s="431">
        <v>4</v>
      </c>
      <c r="F722" s="431">
        <v>4.38</v>
      </c>
      <c r="G722" s="431">
        <v>4.8</v>
      </c>
      <c r="H722" s="431">
        <v>5.17</v>
      </c>
      <c r="I722" s="431">
        <v>4.6399999999999997</v>
      </c>
      <c r="J722" s="431">
        <v>4.3600000000000003</v>
      </c>
      <c r="K722" s="431">
        <v>4.5199999999999996</v>
      </c>
      <c r="L722" s="431">
        <v>4.7</v>
      </c>
      <c r="M722" s="431">
        <v>4.66</v>
      </c>
      <c r="N722" s="431">
        <v>4.34</v>
      </c>
      <c r="O722" s="431">
        <v>4.2</v>
      </c>
      <c r="P722" s="431">
        <v>3.86</v>
      </c>
      <c r="Q722" s="179">
        <f t="shared" si="21"/>
        <v>4.4691666666666672</v>
      </c>
      <c r="R722" s="179" t="s">
        <v>993</v>
      </c>
    </row>
    <row r="723" spans="1:18" x14ac:dyDescent="0.15">
      <c r="A723" s="179" t="str">
        <f t="shared" si="20"/>
        <v>Ensenada_Optimal Year Round_112.5</v>
      </c>
      <c r="B723" s="501" t="s">
        <v>1137</v>
      </c>
      <c r="C723" s="429">
        <v>32</v>
      </c>
      <c r="D723" s="429">
        <v>112.5</v>
      </c>
      <c r="E723" s="431">
        <v>4.38</v>
      </c>
      <c r="F723" s="431">
        <v>4.8</v>
      </c>
      <c r="G723" s="431">
        <v>5.25</v>
      </c>
      <c r="H723" s="431">
        <v>5.65</v>
      </c>
      <c r="I723" s="431">
        <v>5.08</v>
      </c>
      <c r="J723" s="431">
        <v>4.7699999999999996</v>
      </c>
      <c r="K723" s="431">
        <v>4.9400000000000004</v>
      </c>
      <c r="L723" s="431">
        <v>5.14</v>
      </c>
      <c r="M723" s="431">
        <v>5.09</v>
      </c>
      <c r="N723" s="431">
        <v>4.75</v>
      </c>
      <c r="O723" s="431">
        <v>4.59</v>
      </c>
      <c r="P723" s="431">
        <v>4.2300000000000004</v>
      </c>
      <c r="Q723" s="179">
        <f t="shared" si="21"/>
        <v>4.8891666666666671</v>
      </c>
      <c r="R723" s="179" t="s">
        <v>993</v>
      </c>
    </row>
    <row r="724" spans="1:18" x14ac:dyDescent="0.15">
      <c r="A724" s="179" t="str">
        <f t="shared" si="20"/>
        <v>Ensenada_Optimal Year Round_135</v>
      </c>
      <c r="B724" s="501" t="s">
        <v>1137</v>
      </c>
      <c r="C724" s="429">
        <v>32</v>
      </c>
      <c r="D724" s="429">
        <v>135</v>
      </c>
      <c r="E724" s="431">
        <v>4.75</v>
      </c>
      <c r="F724" s="431">
        <v>5.21</v>
      </c>
      <c r="G724" s="431">
        <v>5.7</v>
      </c>
      <c r="H724" s="431">
        <v>6.14</v>
      </c>
      <c r="I724" s="431">
        <v>5.51</v>
      </c>
      <c r="J724" s="431">
        <v>5.18</v>
      </c>
      <c r="K724" s="431">
        <v>5.37</v>
      </c>
      <c r="L724" s="431">
        <v>5.59</v>
      </c>
      <c r="M724" s="431">
        <v>5.53</v>
      </c>
      <c r="N724" s="431">
        <v>5.16</v>
      </c>
      <c r="O724" s="431">
        <v>4.99</v>
      </c>
      <c r="P724" s="431">
        <v>4.59</v>
      </c>
      <c r="Q724" s="179">
        <f t="shared" si="21"/>
        <v>5.31</v>
      </c>
      <c r="R724" s="179" t="s">
        <v>993</v>
      </c>
    </row>
    <row r="725" spans="1:18" x14ac:dyDescent="0.15">
      <c r="A725" s="179" t="str">
        <f t="shared" si="20"/>
        <v>Ensenada_Optimal Year Round_157.5</v>
      </c>
      <c r="B725" s="501" t="s">
        <v>1137</v>
      </c>
      <c r="C725" s="429">
        <v>32</v>
      </c>
      <c r="D725" s="429">
        <v>157.5</v>
      </c>
      <c r="E725" s="431">
        <v>4.88</v>
      </c>
      <c r="F725" s="431">
        <v>5.34</v>
      </c>
      <c r="G725" s="431">
        <v>5.85</v>
      </c>
      <c r="H725" s="431">
        <v>6.3</v>
      </c>
      <c r="I725" s="431">
        <v>5.66</v>
      </c>
      <c r="J725" s="431">
        <v>5.31</v>
      </c>
      <c r="K725" s="431">
        <v>5.51</v>
      </c>
      <c r="L725" s="431">
        <v>5.73</v>
      </c>
      <c r="M725" s="431">
        <v>5.67</v>
      </c>
      <c r="N725" s="431">
        <v>5.29</v>
      </c>
      <c r="O725" s="431">
        <v>5.12</v>
      </c>
      <c r="P725" s="431">
        <v>4.71</v>
      </c>
      <c r="Q725" s="179">
        <f t="shared" si="21"/>
        <v>5.4474999999999989</v>
      </c>
      <c r="R725" s="179" t="s">
        <v>993</v>
      </c>
    </row>
    <row r="726" spans="1:18" x14ac:dyDescent="0.15">
      <c r="A726" s="179" t="str">
        <f t="shared" si="20"/>
        <v>Ensenada_Optimal Year Round_180</v>
      </c>
      <c r="B726" s="501" t="s">
        <v>1137</v>
      </c>
      <c r="C726" s="429">
        <v>32</v>
      </c>
      <c r="D726" s="429">
        <v>180</v>
      </c>
      <c r="E726" s="431">
        <v>5</v>
      </c>
      <c r="F726" s="431">
        <v>5.48</v>
      </c>
      <c r="G726" s="431">
        <v>6</v>
      </c>
      <c r="H726" s="431">
        <v>6.46</v>
      </c>
      <c r="I726" s="431">
        <v>5.8</v>
      </c>
      <c r="J726" s="431">
        <v>5.45</v>
      </c>
      <c r="K726" s="431">
        <v>5.65</v>
      </c>
      <c r="L726" s="431">
        <v>5.88</v>
      </c>
      <c r="M726" s="431">
        <v>5.82</v>
      </c>
      <c r="N726" s="431">
        <v>5.43</v>
      </c>
      <c r="O726" s="431">
        <v>5.25</v>
      </c>
      <c r="P726" s="431">
        <v>4.83</v>
      </c>
      <c r="Q726" s="179">
        <f t="shared" si="21"/>
        <v>5.5875000000000012</v>
      </c>
      <c r="R726" s="179" t="s">
        <v>993</v>
      </c>
    </row>
    <row r="727" spans="1:18" x14ac:dyDescent="0.15">
      <c r="A727" s="179" t="str">
        <f t="shared" si="20"/>
        <v>Ensenada_Optimal Year Round_202.5</v>
      </c>
      <c r="B727" s="501" t="s">
        <v>1137</v>
      </c>
      <c r="C727" s="429">
        <v>32</v>
      </c>
      <c r="D727" s="429">
        <v>202.5</v>
      </c>
      <c r="E727" s="431">
        <v>4.88</v>
      </c>
      <c r="F727" s="431">
        <v>5.34</v>
      </c>
      <c r="G727" s="431">
        <v>5.85</v>
      </c>
      <c r="H727" s="431">
        <v>6.3</v>
      </c>
      <c r="I727" s="431">
        <v>5.66</v>
      </c>
      <c r="J727" s="431">
        <v>5.31</v>
      </c>
      <c r="K727" s="431">
        <v>5.51</v>
      </c>
      <c r="L727" s="431">
        <v>5.73</v>
      </c>
      <c r="M727" s="431">
        <v>5.67</v>
      </c>
      <c r="N727" s="431">
        <v>5.29</v>
      </c>
      <c r="O727" s="431">
        <v>5.12</v>
      </c>
      <c r="P727" s="431">
        <v>4.71</v>
      </c>
      <c r="Q727" s="179">
        <f t="shared" si="21"/>
        <v>5.4474999999999989</v>
      </c>
      <c r="R727" s="179" t="s">
        <v>993</v>
      </c>
    </row>
    <row r="728" spans="1:18" x14ac:dyDescent="0.15">
      <c r="A728" s="179" t="str">
        <f t="shared" si="20"/>
        <v>Ensenada_Optimal Year Round_225</v>
      </c>
      <c r="B728" s="501" t="s">
        <v>1137</v>
      </c>
      <c r="C728" s="429">
        <v>32</v>
      </c>
      <c r="D728" s="429">
        <v>225</v>
      </c>
      <c r="E728" s="431">
        <v>4.75</v>
      </c>
      <c r="F728" s="431">
        <v>5.21</v>
      </c>
      <c r="G728" s="431">
        <v>5.7</v>
      </c>
      <c r="H728" s="431">
        <v>6.14</v>
      </c>
      <c r="I728" s="431">
        <v>5.51</v>
      </c>
      <c r="J728" s="431">
        <v>5.18</v>
      </c>
      <c r="K728" s="431">
        <v>5.37</v>
      </c>
      <c r="L728" s="431">
        <v>5.59</v>
      </c>
      <c r="M728" s="431">
        <v>5.53</v>
      </c>
      <c r="N728" s="431">
        <v>5.16</v>
      </c>
      <c r="O728" s="431">
        <v>4.99</v>
      </c>
      <c r="P728" s="431">
        <v>4.59</v>
      </c>
      <c r="Q728" s="179">
        <f t="shared" si="21"/>
        <v>5.31</v>
      </c>
      <c r="R728" s="179" t="s">
        <v>993</v>
      </c>
    </row>
    <row r="729" spans="1:18" x14ac:dyDescent="0.15">
      <c r="A729" s="179" t="str">
        <f t="shared" si="20"/>
        <v>Ensenada_Optimal Year Round_247.5</v>
      </c>
      <c r="B729" s="501" t="s">
        <v>1137</v>
      </c>
      <c r="C729" s="429">
        <v>32</v>
      </c>
      <c r="D729" s="429">
        <v>247.5</v>
      </c>
      <c r="E729" s="431">
        <v>4.38</v>
      </c>
      <c r="F729" s="431">
        <v>4.8</v>
      </c>
      <c r="G729" s="431">
        <v>5.25</v>
      </c>
      <c r="H729" s="431">
        <v>5.65</v>
      </c>
      <c r="I729" s="431">
        <v>5.08</v>
      </c>
      <c r="J729" s="431">
        <v>4.7699999999999996</v>
      </c>
      <c r="K729" s="431">
        <v>4.9400000000000004</v>
      </c>
      <c r="L729" s="431">
        <v>5.14</v>
      </c>
      <c r="M729" s="431">
        <v>5.09</v>
      </c>
      <c r="N729" s="431">
        <v>4.75</v>
      </c>
      <c r="O729" s="431">
        <v>4.59</v>
      </c>
      <c r="P729" s="431">
        <v>4.2300000000000004</v>
      </c>
      <c r="Q729" s="179">
        <f t="shared" si="21"/>
        <v>4.8891666666666671</v>
      </c>
      <c r="R729" s="179" t="s">
        <v>993</v>
      </c>
    </row>
    <row r="730" spans="1:18" x14ac:dyDescent="0.15">
      <c r="A730" s="179" t="str">
        <f t="shared" si="20"/>
        <v>Ensenada_Optimal Year Round_270</v>
      </c>
      <c r="B730" s="501" t="s">
        <v>1137</v>
      </c>
      <c r="C730" s="429">
        <v>32</v>
      </c>
      <c r="D730" s="429">
        <v>270</v>
      </c>
      <c r="E730" s="431">
        <v>4</v>
      </c>
      <c r="F730" s="431">
        <v>4.38</v>
      </c>
      <c r="G730" s="431">
        <v>4.8</v>
      </c>
      <c r="H730" s="431">
        <v>5.17</v>
      </c>
      <c r="I730" s="431">
        <v>4.6399999999999997</v>
      </c>
      <c r="J730" s="431">
        <v>4.3600000000000003</v>
      </c>
      <c r="K730" s="431">
        <v>4.5199999999999996</v>
      </c>
      <c r="L730" s="431">
        <v>4.7</v>
      </c>
      <c r="M730" s="431">
        <v>4.66</v>
      </c>
      <c r="N730" s="431">
        <v>4.34</v>
      </c>
      <c r="O730" s="431">
        <v>4.2</v>
      </c>
      <c r="P730" s="431">
        <v>3.86</v>
      </c>
      <c r="Q730" s="179">
        <f t="shared" si="21"/>
        <v>4.4691666666666672</v>
      </c>
      <c r="R730" s="179" t="s">
        <v>993</v>
      </c>
    </row>
    <row r="731" spans="1:18" x14ac:dyDescent="0.15">
      <c r="A731" s="179" t="str">
        <f t="shared" si="20"/>
        <v>general Escobedo_Flat Surface_90</v>
      </c>
      <c r="B731" s="501" t="s">
        <v>1138</v>
      </c>
      <c r="C731" s="429">
        <v>0</v>
      </c>
      <c r="D731" s="429">
        <v>90</v>
      </c>
      <c r="E731" s="431">
        <v>3.72</v>
      </c>
      <c r="F731" s="431">
        <v>4.57</v>
      </c>
      <c r="G731" s="431">
        <v>5.66</v>
      </c>
      <c r="H731" s="431">
        <v>5.82</v>
      </c>
      <c r="I731" s="431">
        <v>6.24</v>
      </c>
      <c r="J731" s="431">
        <v>6.16</v>
      </c>
      <c r="K731" s="431">
        <v>6.03</v>
      </c>
      <c r="L731" s="431">
        <v>5.71</v>
      </c>
      <c r="M731" s="431">
        <v>4.9800000000000004</v>
      </c>
      <c r="N731" s="431">
        <v>4.62</v>
      </c>
      <c r="O731" s="431">
        <v>4.07</v>
      </c>
      <c r="P731" s="431">
        <v>3.55</v>
      </c>
      <c r="Q731" s="179">
        <f t="shared" si="21"/>
        <v>5.0941666666666663</v>
      </c>
      <c r="R731" s="179" t="s">
        <v>994</v>
      </c>
    </row>
    <row r="732" spans="1:18" x14ac:dyDescent="0.15">
      <c r="A732" s="179" t="str">
        <f t="shared" si="20"/>
        <v>general Escobedo_Flat Surface_112.5</v>
      </c>
      <c r="B732" s="501" t="s">
        <v>1138</v>
      </c>
      <c r="C732" s="429">
        <v>0</v>
      </c>
      <c r="D732" s="429">
        <v>112.5</v>
      </c>
      <c r="E732" s="431">
        <v>3.72</v>
      </c>
      <c r="F732" s="431">
        <v>4.57</v>
      </c>
      <c r="G732" s="431">
        <v>5.66</v>
      </c>
      <c r="H732" s="431">
        <v>5.82</v>
      </c>
      <c r="I732" s="431">
        <v>6.24</v>
      </c>
      <c r="J732" s="431">
        <v>6.16</v>
      </c>
      <c r="K732" s="431">
        <v>6.03</v>
      </c>
      <c r="L732" s="431">
        <v>5.71</v>
      </c>
      <c r="M732" s="431">
        <v>4.9800000000000004</v>
      </c>
      <c r="N732" s="431">
        <v>4.62</v>
      </c>
      <c r="O732" s="431">
        <v>4.07</v>
      </c>
      <c r="P732" s="431">
        <v>3.55</v>
      </c>
      <c r="Q732" s="179">
        <f t="shared" si="21"/>
        <v>5.0941666666666663</v>
      </c>
      <c r="R732" s="179" t="s">
        <v>994</v>
      </c>
    </row>
    <row r="733" spans="1:18" x14ac:dyDescent="0.15">
      <c r="A733" s="179" t="str">
        <f t="shared" si="20"/>
        <v>general Escobedo_Flat Surface_135</v>
      </c>
      <c r="B733" s="501" t="s">
        <v>1138</v>
      </c>
      <c r="C733" s="429">
        <v>0</v>
      </c>
      <c r="D733" s="429">
        <v>135</v>
      </c>
      <c r="E733" s="431">
        <v>3.72</v>
      </c>
      <c r="F733" s="431">
        <v>4.57</v>
      </c>
      <c r="G733" s="431">
        <v>5.66</v>
      </c>
      <c r="H733" s="431">
        <v>5.82</v>
      </c>
      <c r="I733" s="431">
        <v>6.24</v>
      </c>
      <c r="J733" s="431">
        <v>6.16</v>
      </c>
      <c r="K733" s="431">
        <v>6.03</v>
      </c>
      <c r="L733" s="431">
        <v>5.71</v>
      </c>
      <c r="M733" s="431">
        <v>4.9800000000000004</v>
      </c>
      <c r="N733" s="431">
        <v>4.62</v>
      </c>
      <c r="O733" s="431">
        <v>4.07</v>
      </c>
      <c r="P733" s="431">
        <v>3.55</v>
      </c>
      <c r="Q733" s="179">
        <f t="shared" si="21"/>
        <v>5.0941666666666663</v>
      </c>
      <c r="R733" s="179" t="s">
        <v>994</v>
      </c>
    </row>
    <row r="734" spans="1:18" x14ac:dyDescent="0.15">
      <c r="A734" s="179" t="str">
        <f t="shared" si="20"/>
        <v>general Escobedo_Flat Surface_157.5</v>
      </c>
      <c r="B734" s="501" t="s">
        <v>1138</v>
      </c>
      <c r="C734" s="429">
        <v>0</v>
      </c>
      <c r="D734" s="429">
        <v>157.5</v>
      </c>
      <c r="E734" s="431">
        <v>3.72</v>
      </c>
      <c r="F734" s="431">
        <v>4.57</v>
      </c>
      <c r="G734" s="431">
        <v>5.66</v>
      </c>
      <c r="H734" s="431">
        <v>5.82</v>
      </c>
      <c r="I734" s="431">
        <v>6.24</v>
      </c>
      <c r="J734" s="431">
        <v>6.16</v>
      </c>
      <c r="K734" s="431">
        <v>6.03</v>
      </c>
      <c r="L734" s="431">
        <v>5.71</v>
      </c>
      <c r="M734" s="431">
        <v>4.9800000000000004</v>
      </c>
      <c r="N734" s="431">
        <v>4.62</v>
      </c>
      <c r="O734" s="431">
        <v>4.07</v>
      </c>
      <c r="P734" s="431">
        <v>3.55</v>
      </c>
      <c r="Q734" s="179">
        <f t="shared" si="21"/>
        <v>5.0941666666666663</v>
      </c>
      <c r="R734" s="179" t="s">
        <v>994</v>
      </c>
    </row>
    <row r="735" spans="1:18" x14ac:dyDescent="0.15">
      <c r="A735" s="179" t="str">
        <f t="shared" si="20"/>
        <v>general Escobedo_Flat Surface_180</v>
      </c>
      <c r="B735" s="501" t="s">
        <v>1138</v>
      </c>
      <c r="C735" s="429">
        <v>0</v>
      </c>
      <c r="D735" s="429">
        <v>180</v>
      </c>
      <c r="E735" s="431">
        <v>3.72</v>
      </c>
      <c r="F735" s="431">
        <v>4.57</v>
      </c>
      <c r="G735" s="431">
        <v>5.66</v>
      </c>
      <c r="H735" s="431">
        <v>5.82</v>
      </c>
      <c r="I735" s="431">
        <v>6.24</v>
      </c>
      <c r="J735" s="431">
        <v>6.16</v>
      </c>
      <c r="K735" s="431">
        <v>6.03</v>
      </c>
      <c r="L735" s="431">
        <v>5.71</v>
      </c>
      <c r="M735" s="431">
        <v>4.9800000000000004</v>
      </c>
      <c r="N735" s="431">
        <v>4.62</v>
      </c>
      <c r="O735" s="431">
        <v>4.07</v>
      </c>
      <c r="P735" s="431">
        <v>3.55</v>
      </c>
      <c r="Q735" s="179">
        <f t="shared" si="21"/>
        <v>5.0941666666666663</v>
      </c>
      <c r="R735" s="179" t="s">
        <v>994</v>
      </c>
    </row>
    <row r="736" spans="1:18" x14ac:dyDescent="0.15">
      <c r="A736" s="179" t="str">
        <f t="shared" si="20"/>
        <v>general Escobedo_Flat Surface_202.5</v>
      </c>
      <c r="B736" s="501" t="s">
        <v>1138</v>
      </c>
      <c r="C736" s="429">
        <v>0</v>
      </c>
      <c r="D736" s="429">
        <v>202.5</v>
      </c>
      <c r="E736" s="431">
        <v>3.72</v>
      </c>
      <c r="F736" s="431">
        <v>4.57</v>
      </c>
      <c r="G736" s="431">
        <v>5.66</v>
      </c>
      <c r="H736" s="431">
        <v>5.82</v>
      </c>
      <c r="I736" s="431">
        <v>6.24</v>
      </c>
      <c r="J736" s="431">
        <v>6.16</v>
      </c>
      <c r="K736" s="431">
        <v>6.03</v>
      </c>
      <c r="L736" s="431">
        <v>5.71</v>
      </c>
      <c r="M736" s="431">
        <v>4.9800000000000004</v>
      </c>
      <c r="N736" s="431">
        <v>4.62</v>
      </c>
      <c r="O736" s="431">
        <v>4.07</v>
      </c>
      <c r="P736" s="431">
        <v>3.55</v>
      </c>
      <c r="Q736" s="179">
        <f t="shared" si="21"/>
        <v>5.0941666666666663</v>
      </c>
      <c r="R736" s="179" t="s">
        <v>994</v>
      </c>
    </row>
    <row r="737" spans="1:18" x14ac:dyDescent="0.15">
      <c r="A737" s="179" t="str">
        <f t="shared" si="20"/>
        <v>general Escobedo_Flat Surface_225</v>
      </c>
      <c r="B737" s="501" t="s">
        <v>1138</v>
      </c>
      <c r="C737" s="429">
        <v>0</v>
      </c>
      <c r="D737" s="429">
        <v>225</v>
      </c>
      <c r="E737" s="431">
        <v>3.72</v>
      </c>
      <c r="F737" s="431">
        <v>4.57</v>
      </c>
      <c r="G737" s="431">
        <v>5.66</v>
      </c>
      <c r="H737" s="431">
        <v>5.82</v>
      </c>
      <c r="I737" s="431">
        <v>6.24</v>
      </c>
      <c r="J737" s="431">
        <v>6.16</v>
      </c>
      <c r="K737" s="431">
        <v>6.03</v>
      </c>
      <c r="L737" s="431">
        <v>5.71</v>
      </c>
      <c r="M737" s="431">
        <v>4.9800000000000004</v>
      </c>
      <c r="N737" s="431">
        <v>4.62</v>
      </c>
      <c r="O737" s="431">
        <v>4.07</v>
      </c>
      <c r="P737" s="431">
        <v>3.55</v>
      </c>
      <c r="Q737" s="179">
        <f t="shared" si="21"/>
        <v>5.0941666666666663</v>
      </c>
      <c r="R737" s="179" t="s">
        <v>994</v>
      </c>
    </row>
    <row r="738" spans="1:18" x14ac:dyDescent="0.15">
      <c r="A738" s="179" t="str">
        <f t="shared" si="20"/>
        <v>general Escobedo_Flat Surface_247.5</v>
      </c>
      <c r="B738" s="501" t="s">
        <v>1138</v>
      </c>
      <c r="C738" s="429">
        <v>0</v>
      </c>
      <c r="D738" s="429">
        <v>247.5</v>
      </c>
      <c r="E738" s="431">
        <v>3.72</v>
      </c>
      <c r="F738" s="431">
        <v>4.57</v>
      </c>
      <c r="G738" s="431">
        <v>5.66</v>
      </c>
      <c r="H738" s="431">
        <v>5.82</v>
      </c>
      <c r="I738" s="431">
        <v>6.24</v>
      </c>
      <c r="J738" s="431">
        <v>6.16</v>
      </c>
      <c r="K738" s="431">
        <v>6.03</v>
      </c>
      <c r="L738" s="431">
        <v>5.71</v>
      </c>
      <c r="M738" s="431">
        <v>4.9800000000000004</v>
      </c>
      <c r="N738" s="431">
        <v>4.62</v>
      </c>
      <c r="O738" s="431">
        <v>4.07</v>
      </c>
      <c r="P738" s="431">
        <v>3.55</v>
      </c>
      <c r="Q738" s="179">
        <f t="shared" si="21"/>
        <v>5.0941666666666663</v>
      </c>
      <c r="R738" s="179" t="s">
        <v>994</v>
      </c>
    </row>
    <row r="739" spans="1:18" x14ac:dyDescent="0.15">
      <c r="A739" s="179" t="str">
        <f t="shared" si="20"/>
        <v>general Escobedo_Flat Surface_270</v>
      </c>
      <c r="B739" s="501" t="s">
        <v>1138</v>
      </c>
      <c r="C739" s="429">
        <v>0</v>
      </c>
      <c r="D739" s="429">
        <v>270</v>
      </c>
      <c r="E739" s="431">
        <v>3.72</v>
      </c>
      <c r="F739" s="431">
        <v>4.57</v>
      </c>
      <c r="G739" s="431">
        <v>5.66</v>
      </c>
      <c r="H739" s="431">
        <v>5.82</v>
      </c>
      <c r="I739" s="431">
        <v>6.24</v>
      </c>
      <c r="J739" s="431">
        <v>6.16</v>
      </c>
      <c r="K739" s="431">
        <v>6.03</v>
      </c>
      <c r="L739" s="431">
        <v>5.71</v>
      </c>
      <c r="M739" s="431">
        <v>4.9800000000000004</v>
      </c>
      <c r="N739" s="431">
        <v>4.62</v>
      </c>
      <c r="O739" s="431">
        <v>4.07</v>
      </c>
      <c r="P739" s="431">
        <v>3.55</v>
      </c>
      <c r="Q739" s="179">
        <f t="shared" si="21"/>
        <v>5.0941666666666663</v>
      </c>
      <c r="R739" s="179" t="s">
        <v>994</v>
      </c>
    </row>
    <row r="740" spans="1:18" x14ac:dyDescent="0.15">
      <c r="A740" s="179" t="str">
        <f t="shared" si="20"/>
        <v>general Escobedo_Optimal Summer_90</v>
      </c>
      <c r="B740" s="501" t="s">
        <v>1138</v>
      </c>
      <c r="C740" s="429">
        <v>11</v>
      </c>
      <c r="D740" s="429">
        <v>90</v>
      </c>
      <c r="E740" s="431">
        <v>3.39</v>
      </c>
      <c r="F740" s="431">
        <v>4.03</v>
      </c>
      <c r="G740" s="431">
        <v>4.79</v>
      </c>
      <c r="H740" s="431">
        <v>4.7300000000000004</v>
      </c>
      <c r="I740" s="431">
        <v>4.92</v>
      </c>
      <c r="J740" s="431">
        <v>4.8099999999999996</v>
      </c>
      <c r="K740" s="431">
        <v>4.74</v>
      </c>
      <c r="L740" s="431">
        <v>4.57</v>
      </c>
      <c r="M740" s="431">
        <v>4.12</v>
      </c>
      <c r="N740" s="431">
        <v>4</v>
      </c>
      <c r="O740" s="431">
        <v>3.69</v>
      </c>
      <c r="P740" s="431">
        <v>3.28</v>
      </c>
      <c r="Q740" s="179">
        <f t="shared" si="21"/>
        <v>4.2558333333333325</v>
      </c>
      <c r="R740" s="179" t="s">
        <v>958</v>
      </c>
    </row>
    <row r="741" spans="1:18" x14ac:dyDescent="0.15">
      <c r="A741" s="179" t="str">
        <f t="shared" si="20"/>
        <v>general Escobedo_Optimal Summer_112.5</v>
      </c>
      <c r="B741" s="501" t="s">
        <v>1138</v>
      </c>
      <c r="C741" s="429">
        <v>11</v>
      </c>
      <c r="D741" s="429">
        <v>112.5</v>
      </c>
      <c r="E741" s="431">
        <v>3.71</v>
      </c>
      <c r="F741" s="431">
        <v>4.41</v>
      </c>
      <c r="G741" s="431">
        <v>5.24</v>
      </c>
      <c r="H741" s="431">
        <v>5.17</v>
      </c>
      <c r="I741" s="431">
        <v>5.38</v>
      </c>
      <c r="J741" s="431">
        <v>5.26</v>
      </c>
      <c r="K741" s="431">
        <v>5.18</v>
      </c>
      <c r="L741" s="431">
        <v>5</v>
      </c>
      <c r="M741" s="431">
        <v>4.51</v>
      </c>
      <c r="N741" s="431">
        <v>4.38</v>
      </c>
      <c r="O741" s="431">
        <v>4.03</v>
      </c>
      <c r="P741" s="431">
        <v>3.59</v>
      </c>
      <c r="Q741" s="179">
        <f t="shared" si="21"/>
        <v>4.6550000000000002</v>
      </c>
      <c r="R741" s="179" t="s">
        <v>958</v>
      </c>
    </row>
    <row r="742" spans="1:18" x14ac:dyDescent="0.15">
      <c r="A742" s="179" t="str">
        <f t="shared" si="20"/>
        <v>general Escobedo_Optimal Summer_135</v>
      </c>
      <c r="B742" s="501" t="s">
        <v>1138</v>
      </c>
      <c r="C742" s="429">
        <v>11</v>
      </c>
      <c r="D742" s="429">
        <v>135</v>
      </c>
      <c r="E742" s="431">
        <v>4.03</v>
      </c>
      <c r="F742" s="431">
        <v>4.79</v>
      </c>
      <c r="G742" s="431">
        <v>5.69</v>
      </c>
      <c r="H742" s="431">
        <v>5.61</v>
      </c>
      <c r="I742" s="431">
        <v>5.84</v>
      </c>
      <c r="J742" s="431">
        <v>5.71</v>
      </c>
      <c r="K742" s="431">
        <v>5.62</v>
      </c>
      <c r="L742" s="431">
        <v>5.42</v>
      </c>
      <c r="M742" s="431">
        <v>4.8899999999999997</v>
      </c>
      <c r="N742" s="431">
        <v>4.75</v>
      </c>
      <c r="O742" s="431">
        <v>4.38</v>
      </c>
      <c r="P742" s="431">
        <v>3.9</v>
      </c>
      <c r="Q742" s="179">
        <f t="shared" si="21"/>
        <v>5.0525000000000002</v>
      </c>
      <c r="R742" s="179" t="s">
        <v>958</v>
      </c>
    </row>
    <row r="743" spans="1:18" x14ac:dyDescent="0.15">
      <c r="A743" s="179" t="str">
        <f t="shared" si="20"/>
        <v>general Escobedo_Optimal Summer_157.5</v>
      </c>
      <c r="B743" s="501" t="s">
        <v>1138</v>
      </c>
      <c r="C743" s="429">
        <v>11</v>
      </c>
      <c r="D743" s="429">
        <v>157.5</v>
      </c>
      <c r="E743" s="431">
        <v>4.13</v>
      </c>
      <c r="F743" s="431">
        <v>4.91</v>
      </c>
      <c r="G743" s="431">
        <v>5.84</v>
      </c>
      <c r="H743" s="431">
        <v>5.76</v>
      </c>
      <c r="I743" s="431">
        <v>6</v>
      </c>
      <c r="J743" s="431">
        <v>5.86</v>
      </c>
      <c r="K743" s="431">
        <v>5.77</v>
      </c>
      <c r="L743" s="431">
        <v>5.57</v>
      </c>
      <c r="M743" s="431">
        <v>5.0199999999999996</v>
      </c>
      <c r="N743" s="431">
        <v>4.88</v>
      </c>
      <c r="O743" s="431">
        <v>4.49</v>
      </c>
      <c r="P743" s="431">
        <v>4</v>
      </c>
      <c r="Q743" s="179">
        <f t="shared" si="21"/>
        <v>5.185833333333334</v>
      </c>
      <c r="R743" s="179" t="s">
        <v>958</v>
      </c>
    </row>
    <row r="744" spans="1:18" x14ac:dyDescent="0.15">
      <c r="A744" s="179" t="str">
        <f t="shared" si="20"/>
        <v>general Escobedo_Optimal Summer_180</v>
      </c>
      <c r="B744" s="501" t="s">
        <v>1138</v>
      </c>
      <c r="C744" s="429">
        <v>11</v>
      </c>
      <c r="D744" s="429">
        <v>180</v>
      </c>
      <c r="E744" s="431">
        <v>4.24</v>
      </c>
      <c r="F744" s="431">
        <v>5.04</v>
      </c>
      <c r="G744" s="431">
        <v>5.99</v>
      </c>
      <c r="H744" s="431">
        <v>5.91</v>
      </c>
      <c r="I744" s="431">
        <v>6.15</v>
      </c>
      <c r="J744" s="431">
        <v>6.01</v>
      </c>
      <c r="K744" s="431">
        <v>5.92</v>
      </c>
      <c r="L744" s="431">
        <v>5.71</v>
      </c>
      <c r="M744" s="431">
        <v>5.15</v>
      </c>
      <c r="N744" s="431">
        <v>5</v>
      </c>
      <c r="O744" s="431">
        <v>4.6100000000000003</v>
      </c>
      <c r="P744" s="431">
        <v>4.0999999999999996</v>
      </c>
      <c r="Q744" s="179">
        <f t="shared" si="21"/>
        <v>5.3191666666666668</v>
      </c>
      <c r="R744" s="179" t="s">
        <v>958</v>
      </c>
    </row>
    <row r="745" spans="1:18" x14ac:dyDescent="0.15">
      <c r="A745" s="179" t="str">
        <f t="shared" si="20"/>
        <v>general Escobedo_Optimal Summer_202.5</v>
      </c>
      <c r="B745" s="501" t="s">
        <v>1138</v>
      </c>
      <c r="C745" s="429">
        <v>11</v>
      </c>
      <c r="D745" s="429">
        <v>202.5</v>
      </c>
      <c r="E745" s="431">
        <v>4.13</v>
      </c>
      <c r="F745" s="431">
        <v>4.91</v>
      </c>
      <c r="G745" s="431">
        <v>5.84</v>
      </c>
      <c r="H745" s="431">
        <v>5.76</v>
      </c>
      <c r="I745" s="431">
        <v>6</v>
      </c>
      <c r="J745" s="431">
        <v>5.86</v>
      </c>
      <c r="K745" s="431">
        <v>5.77</v>
      </c>
      <c r="L745" s="431">
        <v>5.57</v>
      </c>
      <c r="M745" s="431">
        <v>5.0199999999999996</v>
      </c>
      <c r="N745" s="431">
        <v>4.88</v>
      </c>
      <c r="O745" s="431">
        <v>4.49</v>
      </c>
      <c r="P745" s="431">
        <v>4</v>
      </c>
      <c r="Q745" s="179">
        <f t="shared" si="21"/>
        <v>5.185833333333334</v>
      </c>
      <c r="R745" s="179" t="s">
        <v>958</v>
      </c>
    </row>
    <row r="746" spans="1:18" x14ac:dyDescent="0.15">
      <c r="A746" s="179" t="str">
        <f t="shared" si="20"/>
        <v>general Escobedo_Optimal Summer_225</v>
      </c>
      <c r="B746" s="501" t="s">
        <v>1138</v>
      </c>
      <c r="C746" s="429">
        <v>11</v>
      </c>
      <c r="D746" s="429">
        <v>225</v>
      </c>
      <c r="E746" s="431">
        <v>4.03</v>
      </c>
      <c r="F746" s="431">
        <v>4.79</v>
      </c>
      <c r="G746" s="431">
        <v>5.69</v>
      </c>
      <c r="H746" s="431">
        <v>5.61</v>
      </c>
      <c r="I746" s="431">
        <v>5.84</v>
      </c>
      <c r="J746" s="431">
        <v>5.71</v>
      </c>
      <c r="K746" s="431">
        <v>5.62</v>
      </c>
      <c r="L746" s="431">
        <v>5.42</v>
      </c>
      <c r="M746" s="431">
        <v>4.8899999999999997</v>
      </c>
      <c r="N746" s="431">
        <v>4.75</v>
      </c>
      <c r="O746" s="431">
        <v>4.38</v>
      </c>
      <c r="P746" s="431">
        <v>3.9</v>
      </c>
      <c r="Q746" s="179">
        <f t="shared" si="21"/>
        <v>5.0525000000000002</v>
      </c>
      <c r="R746" s="179" t="s">
        <v>958</v>
      </c>
    </row>
    <row r="747" spans="1:18" x14ac:dyDescent="0.15">
      <c r="A747" s="179" t="str">
        <f t="shared" si="20"/>
        <v>general Escobedo_Optimal Summer_247.5</v>
      </c>
      <c r="B747" s="501" t="s">
        <v>1138</v>
      </c>
      <c r="C747" s="429">
        <v>11</v>
      </c>
      <c r="D747" s="429">
        <v>247.5</v>
      </c>
      <c r="E747" s="431">
        <v>3.71</v>
      </c>
      <c r="F747" s="431">
        <v>4.41</v>
      </c>
      <c r="G747" s="431">
        <v>5.24</v>
      </c>
      <c r="H747" s="431">
        <v>5.17</v>
      </c>
      <c r="I747" s="431">
        <v>5.38</v>
      </c>
      <c r="J747" s="431">
        <v>5.26</v>
      </c>
      <c r="K747" s="431">
        <v>5.18</v>
      </c>
      <c r="L747" s="431">
        <v>5</v>
      </c>
      <c r="M747" s="431">
        <v>4.51</v>
      </c>
      <c r="N747" s="431">
        <v>4.38</v>
      </c>
      <c r="O747" s="431">
        <v>4.03</v>
      </c>
      <c r="P747" s="431">
        <v>3.59</v>
      </c>
      <c r="Q747" s="179">
        <f t="shared" si="21"/>
        <v>4.6550000000000002</v>
      </c>
      <c r="R747" s="179" t="s">
        <v>958</v>
      </c>
    </row>
    <row r="748" spans="1:18" x14ac:dyDescent="0.15">
      <c r="A748" s="179" t="str">
        <f t="shared" si="20"/>
        <v>general Escobedo_Optimal Summer_270</v>
      </c>
      <c r="B748" s="501" t="s">
        <v>1138</v>
      </c>
      <c r="C748" s="429">
        <v>11</v>
      </c>
      <c r="D748" s="429">
        <v>270</v>
      </c>
      <c r="E748" s="431">
        <v>3.39</v>
      </c>
      <c r="F748" s="431">
        <v>4.03</v>
      </c>
      <c r="G748" s="431">
        <v>4.79</v>
      </c>
      <c r="H748" s="431">
        <v>4.7300000000000004</v>
      </c>
      <c r="I748" s="431">
        <v>4.92</v>
      </c>
      <c r="J748" s="431">
        <v>4.8099999999999996</v>
      </c>
      <c r="K748" s="431">
        <v>4.74</v>
      </c>
      <c r="L748" s="431">
        <v>4.57</v>
      </c>
      <c r="M748" s="431">
        <v>4.12</v>
      </c>
      <c r="N748" s="431">
        <v>4</v>
      </c>
      <c r="O748" s="431">
        <v>3.69</v>
      </c>
      <c r="P748" s="431">
        <v>3.28</v>
      </c>
      <c r="Q748" s="179">
        <f t="shared" si="21"/>
        <v>4.2558333333333325</v>
      </c>
      <c r="R748" s="179" t="s">
        <v>958</v>
      </c>
    </row>
    <row r="749" spans="1:18" x14ac:dyDescent="0.15">
      <c r="A749" s="179" t="str">
        <f t="shared" si="20"/>
        <v>general Escobedo_Optimal Year Round_90</v>
      </c>
      <c r="B749" s="501" t="s">
        <v>1138</v>
      </c>
      <c r="C749" s="429">
        <v>26</v>
      </c>
      <c r="D749" s="429">
        <v>90</v>
      </c>
      <c r="E749" s="431">
        <v>3.86</v>
      </c>
      <c r="F749" s="431">
        <v>4.42</v>
      </c>
      <c r="G749" s="431">
        <v>4.9800000000000004</v>
      </c>
      <c r="H749" s="431">
        <v>4.6399999999999997</v>
      </c>
      <c r="I749" s="431">
        <v>4.62</v>
      </c>
      <c r="J749" s="431">
        <v>4.4400000000000004</v>
      </c>
      <c r="K749" s="431">
        <v>4.41</v>
      </c>
      <c r="L749" s="431">
        <v>4.3899999999999997</v>
      </c>
      <c r="M749" s="431">
        <v>4.1500000000000004</v>
      </c>
      <c r="N749" s="431">
        <v>4.28</v>
      </c>
      <c r="O749" s="431">
        <v>4.17</v>
      </c>
      <c r="P749" s="431">
        <v>3.79</v>
      </c>
      <c r="Q749" s="179">
        <f t="shared" si="21"/>
        <v>4.3458333333333332</v>
      </c>
      <c r="R749" s="179" t="s">
        <v>993</v>
      </c>
    </row>
    <row r="750" spans="1:18" x14ac:dyDescent="0.15">
      <c r="A750" s="179" t="str">
        <f t="shared" si="20"/>
        <v>general Escobedo_Optimal Year Round_112.5</v>
      </c>
      <c r="B750" s="501" t="s">
        <v>1138</v>
      </c>
      <c r="C750" s="429">
        <v>26</v>
      </c>
      <c r="D750" s="429">
        <v>112.5</v>
      </c>
      <c r="E750" s="431">
        <v>4.2300000000000004</v>
      </c>
      <c r="F750" s="431">
        <v>4.83</v>
      </c>
      <c r="G750" s="431">
        <v>5.44</v>
      </c>
      <c r="H750" s="431">
        <v>5.08</v>
      </c>
      <c r="I750" s="431">
        <v>5.0599999999999996</v>
      </c>
      <c r="J750" s="431">
        <v>4.8600000000000003</v>
      </c>
      <c r="K750" s="431">
        <v>4.82</v>
      </c>
      <c r="L750" s="431">
        <v>4.8</v>
      </c>
      <c r="M750" s="431">
        <v>4.54</v>
      </c>
      <c r="N750" s="431">
        <v>4.68</v>
      </c>
      <c r="O750" s="431">
        <v>4.5599999999999996</v>
      </c>
      <c r="P750" s="431">
        <v>4.1500000000000004</v>
      </c>
      <c r="Q750" s="179">
        <f t="shared" si="21"/>
        <v>4.7541666666666655</v>
      </c>
      <c r="R750" s="179" t="s">
        <v>993</v>
      </c>
    </row>
    <row r="751" spans="1:18" x14ac:dyDescent="0.15">
      <c r="A751" s="179" t="str">
        <f t="shared" si="20"/>
        <v>general Escobedo_Optimal Year Round_135</v>
      </c>
      <c r="B751" s="501" t="s">
        <v>1138</v>
      </c>
      <c r="C751" s="429">
        <v>26</v>
      </c>
      <c r="D751" s="429">
        <v>135</v>
      </c>
      <c r="E751" s="431">
        <v>4.59</v>
      </c>
      <c r="F751" s="431">
        <v>5.24</v>
      </c>
      <c r="G751" s="431">
        <v>5.91</v>
      </c>
      <c r="H751" s="431">
        <v>5.51</v>
      </c>
      <c r="I751" s="431">
        <v>5.49</v>
      </c>
      <c r="J751" s="431">
        <v>5.27</v>
      </c>
      <c r="K751" s="431">
        <v>5.23</v>
      </c>
      <c r="L751" s="431">
        <v>5.22</v>
      </c>
      <c r="M751" s="431">
        <v>4.93</v>
      </c>
      <c r="N751" s="431">
        <v>5.08</v>
      </c>
      <c r="O751" s="431">
        <v>4.95</v>
      </c>
      <c r="P751" s="431">
        <v>4.5</v>
      </c>
      <c r="Q751" s="179">
        <f t="shared" si="21"/>
        <v>5.160000000000001</v>
      </c>
      <c r="R751" s="179" t="s">
        <v>993</v>
      </c>
    </row>
    <row r="752" spans="1:18" x14ac:dyDescent="0.15">
      <c r="A752" s="179" t="str">
        <f t="shared" si="20"/>
        <v>general Escobedo_Optimal Year Round_157.5</v>
      </c>
      <c r="B752" s="501" t="s">
        <v>1138</v>
      </c>
      <c r="C752" s="429">
        <v>26</v>
      </c>
      <c r="D752" s="429">
        <v>157.5</v>
      </c>
      <c r="E752" s="431">
        <v>4.71</v>
      </c>
      <c r="F752" s="431">
        <v>5.38</v>
      </c>
      <c r="G752" s="431">
        <v>6.06</v>
      </c>
      <c r="H752" s="431">
        <v>5.66</v>
      </c>
      <c r="I752" s="431">
        <v>5.64</v>
      </c>
      <c r="J752" s="431">
        <v>5.41</v>
      </c>
      <c r="K752" s="431">
        <v>5.37</v>
      </c>
      <c r="L752" s="431">
        <v>5.35</v>
      </c>
      <c r="M752" s="431">
        <v>5.0599999999999996</v>
      </c>
      <c r="N752" s="431">
        <v>5.22</v>
      </c>
      <c r="O752" s="431">
        <v>5.08</v>
      </c>
      <c r="P752" s="431">
        <v>4.62</v>
      </c>
      <c r="Q752" s="179">
        <f t="shared" si="21"/>
        <v>5.296666666666666</v>
      </c>
      <c r="R752" s="179" t="s">
        <v>993</v>
      </c>
    </row>
    <row r="753" spans="1:18" x14ac:dyDescent="0.15">
      <c r="A753" s="179" t="str">
        <f t="shared" si="20"/>
        <v>general Escobedo_Optimal Year Round_180</v>
      </c>
      <c r="B753" s="501" t="s">
        <v>1138</v>
      </c>
      <c r="C753" s="429">
        <v>26</v>
      </c>
      <c r="D753" s="429">
        <v>180</v>
      </c>
      <c r="E753" s="431">
        <v>4.83</v>
      </c>
      <c r="F753" s="431">
        <v>5.52</v>
      </c>
      <c r="G753" s="431">
        <v>6.22</v>
      </c>
      <c r="H753" s="431">
        <v>5.8</v>
      </c>
      <c r="I753" s="431">
        <v>5.78</v>
      </c>
      <c r="J753" s="431">
        <v>5.55</v>
      </c>
      <c r="K753" s="431">
        <v>5.51</v>
      </c>
      <c r="L753" s="431">
        <v>5.49</v>
      </c>
      <c r="M753" s="431">
        <v>5.19</v>
      </c>
      <c r="N753" s="431">
        <v>5.35</v>
      </c>
      <c r="O753" s="431">
        <v>5.21</v>
      </c>
      <c r="P753" s="431">
        <v>4.74</v>
      </c>
      <c r="Q753" s="179">
        <f t="shared" si="21"/>
        <v>5.4325000000000001</v>
      </c>
      <c r="R753" s="179" t="s">
        <v>993</v>
      </c>
    </row>
    <row r="754" spans="1:18" x14ac:dyDescent="0.15">
      <c r="A754" s="179" t="str">
        <f t="shared" si="20"/>
        <v>general Escobedo_Optimal Year Round_202.5</v>
      </c>
      <c r="B754" s="501" t="s">
        <v>1138</v>
      </c>
      <c r="C754" s="429">
        <v>26</v>
      </c>
      <c r="D754" s="429">
        <v>202.5</v>
      </c>
      <c r="E754" s="431">
        <v>4.71</v>
      </c>
      <c r="F754" s="431">
        <v>5.38</v>
      </c>
      <c r="G754" s="431">
        <v>6.06</v>
      </c>
      <c r="H754" s="431">
        <v>5.66</v>
      </c>
      <c r="I754" s="431">
        <v>5.64</v>
      </c>
      <c r="J754" s="431">
        <v>5.41</v>
      </c>
      <c r="K754" s="431">
        <v>5.37</v>
      </c>
      <c r="L754" s="431">
        <v>5.35</v>
      </c>
      <c r="M754" s="431">
        <v>5.0599999999999996</v>
      </c>
      <c r="N754" s="431">
        <v>5.22</v>
      </c>
      <c r="O754" s="431">
        <v>5.08</v>
      </c>
      <c r="P754" s="431">
        <v>4.62</v>
      </c>
      <c r="Q754" s="179">
        <f t="shared" si="21"/>
        <v>5.296666666666666</v>
      </c>
      <c r="R754" s="179" t="s">
        <v>993</v>
      </c>
    </row>
    <row r="755" spans="1:18" x14ac:dyDescent="0.15">
      <c r="A755" s="179" t="str">
        <f t="shared" si="20"/>
        <v>general Escobedo_Optimal Year Round_225</v>
      </c>
      <c r="B755" s="501" t="s">
        <v>1138</v>
      </c>
      <c r="C755" s="429">
        <v>26</v>
      </c>
      <c r="D755" s="429">
        <v>225</v>
      </c>
      <c r="E755" s="431">
        <v>4.59</v>
      </c>
      <c r="F755" s="431">
        <v>5.24</v>
      </c>
      <c r="G755" s="431">
        <v>5.91</v>
      </c>
      <c r="H755" s="431">
        <v>5.51</v>
      </c>
      <c r="I755" s="431">
        <v>5.49</v>
      </c>
      <c r="J755" s="431">
        <v>5.27</v>
      </c>
      <c r="K755" s="431">
        <v>5.23</v>
      </c>
      <c r="L755" s="431">
        <v>5.22</v>
      </c>
      <c r="M755" s="431">
        <v>4.93</v>
      </c>
      <c r="N755" s="431">
        <v>5.08</v>
      </c>
      <c r="O755" s="431">
        <v>4.95</v>
      </c>
      <c r="P755" s="431">
        <v>4.5</v>
      </c>
      <c r="Q755" s="179">
        <f t="shared" si="21"/>
        <v>5.160000000000001</v>
      </c>
      <c r="R755" s="179" t="s">
        <v>993</v>
      </c>
    </row>
    <row r="756" spans="1:18" x14ac:dyDescent="0.15">
      <c r="A756" s="179" t="str">
        <f t="shared" si="20"/>
        <v>general Escobedo_Optimal Year Round_247.5</v>
      </c>
      <c r="B756" s="501" t="s">
        <v>1138</v>
      </c>
      <c r="C756" s="429">
        <v>26</v>
      </c>
      <c r="D756" s="429">
        <v>247.5</v>
      </c>
      <c r="E756" s="431">
        <v>4.2300000000000004</v>
      </c>
      <c r="F756" s="431">
        <v>4.83</v>
      </c>
      <c r="G756" s="431">
        <v>5.44</v>
      </c>
      <c r="H756" s="431">
        <v>5.08</v>
      </c>
      <c r="I756" s="431">
        <v>5.0599999999999996</v>
      </c>
      <c r="J756" s="431">
        <v>4.8600000000000003</v>
      </c>
      <c r="K756" s="431">
        <v>4.82</v>
      </c>
      <c r="L756" s="431">
        <v>4.8</v>
      </c>
      <c r="M756" s="431">
        <v>4.54</v>
      </c>
      <c r="N756" s="431">
        <v>4.68</v>
      </c>
      <c r="O756" s="431">
        <v>4.5599999999999996</v>
      </c>
      <c r="P756" s="431">
        <v>4.1500000000000004</v>
      </c>
      <c r="Q756" s="179">
        <f t="shared" si="21"/>
        <v>4.7541666666666655</v>
      </c>
      <c r="R756" s="179" t="s">
        <v>993</v>
      </c>
    </row>
    <row r="757" spans="1:18" x14ac:dyDescent="0.15">
      <c r="A757" s="179" t="str">
        <f t="shared" si="20"/>
        <v>general Escobedo_Optimal Year Round_270</v>
      </c>
      <c r="B757" s="501" t="s">
        <v>1138</v>
      </c>
      <c r="C757" s="429">
        <v>26</v>
      </c>
      <c r="D757" s="429">
        <v>270</v>
      </c>
      <c r="E757" s="431">
        <v>3.86</v>
      </c>
      <c r="F757" s="431">
        <v>4.42</v>
      </c>
      <c r="G757" s="431">
        <v>4.9800000000000004</v>
      </c>
      <c r="H757" s="431">
        <v>4.6399999999999997</v>
      </c>
      <c r="I757" s="431">
        <v>4.62</v>
      </c>
      <c r="J757" s="431">
        <v>4.4400000000000004</v>
      </c>
      <c r="K757" s="431">
        <v>4.41</v>
      </c>
      <c r="L757" s="431">
        <v>4.3899999999999997</v>
      </c>
      <c r="M757" s="431">
        <v>4.1500000000000004</v>
      </c>
      <c r="N757" s="431">
        <v>4.28</v>
      </c>
      <c r="O757" s="431">
        <v>4.17</v>
      </c>
      <c r="P757" s="431">
        <v>3.79</v>
      </c>
      <c r="Q757" s="179">
        <f t="shared" si="21"/>
        <v>4.3458333333333332</v>
      </c>
      <c r="R757" s="179" t="s">
        <v>993</v>
      </c>
    </row>
    <row r="758" spans="1:18" x14ac:dyDescent="0.15">
      <c r="A758" s="179" t="str">
        <f t="shared" si="20"/>
        <v>Gomez Palacio_Flat Surface_90</v>
      </c>
      <c r="B758" s="501" t="s">
        <v>1139</v>
      </c>
      <c r="C758" s="429">
        <v>0</v>
      </c>
      <c r="D758" s="429">
        <v>90</v>
      </c>
      <c r="E758" s="431">
        <v>3.98</v>
      </c>
      <c r="F758" s="431">
        <v>4.9400000000000004</v>
      </c>
      <c r="G758" s="431">
        <v>6.11</v>
      </c>
      <c r="H758" s="431">
        <v>6.48</v>
      </c>
      <c r="I758" s="431">
        <v>6.85</v>
      </c>
      <c r="J758" s="431">
        <v>6.79</v>
      </c>
      <c r="K758" s="431">
        <v>6.39</v>
      </c>
      <c r="L758" s="431">
        <v>6.04</v>
      </c>
      <c r="M758" s="431">
        <v>5.29</v>
      </c>
      <c r="N758" s="431">
        <v>5.1100000000000003</v>
      </c>
      <c r="O758" s="431">
        <v>4.3600000000000003</v>
      </c>
      <c r="P758" s="431">
        <v>3.75</v>
      </c>
      <c r="Q758" s="179">
        <f t="shared" si="21"/>
        <v>5.5075000000000003</v>
      </c>
      <c r="R758" s="179" t="s">
        <v>994</v>
      </c>
    </row>
    <row r="759" spans="1:18" x14ac:dyDescent="0.15">
      <c r="A759" s="179" t="str">
        <f t="shared" si="20"/>
        <v>Gomez Palacio_Flat Surface_112.5</v>
      </c>
      <c r="B759" s="501" t="s">
        <v>1139</v>
      </c>
      <c r="C759" s="429">
        <v>0</v>
      </c>
      <c r="D759" s="429">
        <v>112.5</v>
      </c>
      <c r="E759" s="431">
        <v>3.98</v>
      </c>
      <c r="F759" s="431">
        <v>4.9400000000000004</v>
      </c>
      <c r="G759" s="431">
        <v>6.11</v>
      </c>
      <c r="H759" s="431">
        <v>6.48</v>
      </c>
      <c r="I759" s="431">
        <v>6.85</v>
      </c>
      <c r="J759" s="431">
        <v>6.79</v>
      </c>
      <c r="K759" s="431">
        <v>6.39</v>
      </c>
      <c r="L759" s="431">
        <v>6.04</v>
      </c>
      <c r="M759" s="431">
        <v>5.29</v>
      </c>
      <c r="N759" s="431">
        <v>5.1100000000000003</v>
      </c>
      <c r="O759" s="431">
        <v>4.3600000000000003</v>
      </c>
      <c r="P759" s="431">
        <v>3.75</v>
      </c>
      <c r="Q759" s="179">
        <f t="shared" si="21"/>
        <v>5.5075000000000003</v>
      </c>
      <c r="R759" s="179" t="s">
        <v>994</v>
      </c>
    </row>
    <row r="760" spans="1:18" x14ac:dyDescent="0.15">
      <c r="A760" s="179" t="str">
        <f t="shared" si="20"/>
        <v>Gomez Palacio_Flat Surface_135</v>
      </c>
      <c r="B760" s="501" t="s">
        <v>1139</v>
      </c>
      <c r="C760" s="429">
        <v>0</v>
      </c>
      <c r="D760" s="429">
        <v>135</v>
      </c>
      <c r="E760" s="431">
        <v>3.98</v>
      </c>
      <c r="F760" s="431">
        <v>4.9400000000000004</v>
      </c>
      <c r="G760" s="431">
        <v>6.11</v>
      </c>
      <c r="H760" s="431">
        <v>6.48</v>
      </c>
      <c r="I760" s="431">
        <v>6.85</v>
      </c>
      <c r="J760" s="431">
        <v>6.79</v>
      </c>
      <c r="K760" s="431">
        <v>6.39</v>
      </c>
      <c r="L760" s="431">
        <v>6.04</v>
      </c>
      <c r="M760" s="431">
        <v>5.29</v>
      </c>
      <c r="N760" s="431">
        <v>5.1100000000000003</v>
      </c>
      <c r="O760" s="431">
        <v>4.3600000000000003</v>
      </c>
      <c r="P760" s="431">
        <v>3.75</v>
      </c>
      <c r="Q760" s="179">
        <f t="shared" si="21"/>
        <v>5.5075000000000003</v>
      </c>
      <c r="R760" s="179" t="s">
        <v>994</v>
      </c>
    </row>
    <row r="761" spans="1:18" x14ac:dyDescent="0.15">
      <c r="A761" s="179" t="str">
        <f t="shared" si="20"/>
        <v>Gomez Palacio_Flat Surface_157.5</v>
      </c>
      <c r="B761" s="501" t="s">
        <v>1139</v>
      </c>
      <c r="C761" s="429">
        <v>0</v>
      </c>
      <c r="D761" s="429">
        <v>157.5</v>
      </c>
      <c r="E761" s="431">
        <v>3.98</v>
      </c>
      <c r="F761" s="431">
        <v>4.9400000000000004</v>
      </c>
      <c r="G761" s="431">
        <v>6.11</v>
      </c>
      <c r="H761" s="431">
        <v>6.48</v>
      </c>
      <c r="I761" s="431">
        <v>6.85</v>
      </c>
      <c r="J761" s="431">
        <v>6.79</v>
      </c>
      <c r="K761" s="431">
        <v>6.39</v>
      </c>
      <c r="L761" s="431">
        <v>6.04</v>
      </c>
      <c r="M761" s="431">
        <v>5.29</v>
      </c>
      <c r="N761" s="431">
        <v>5.1100000000000003</v>
      </c>
      <c r="O761" s="431">
        <v>4.3600000000000003</v>
      </c>
      <c r="P761" s="431">
        <v>3.75</v>
      </c>
      <c r="Q761" s="179">
        <f t="shared" si="21"/>
        <v>5.5075000000000003</v>
      </c>
      <c r="R761" s="179" t="s">
        <v>994</v>
      </c>
    </row>
    <row r="762" spans="1:18" x14ac:dyDescent="0.15">
      <c r="A762" s="179" t="str">
        <f t="shared" si="20"/>
        <v>Gomez Palacio_Flat Surface_180</v>
      </c>
      <c r="B762" s="501" t="s">
        <v>1139</v>
      </c>
      <c r="C762" s="429">
        <v>0</v>
      </c>
      <c r="D762" s="429">
        <v>180</v>
      </c>
      <c r="E762" s="431">
        <v>3.98</v>
      </c>
      <c r="F762" s="431">
        <v>4.9400000000000004</v>
      </c>
      <c r="G762" s="431">
        <v>6.11</v>
      </c>
      <c r="H762" s="431">
        <v>6.48</v>
      </c>
      <c r="I762" s="431">
        <v>6.85</v>
      </c>
      <c r="J762" s="431">
        <v>6.79</v>
      </c>
      <c r="K762" s="431">
        <v>6.39</v>
      </c>
      <c r="L762" s="431">
        <v>6.04</v>
      </c>
      <c r="M762" s="431">
        <v>5.29</v>
      </c>
      <c r="N762" s="431">
        <v>5.1100000000000003</v>
      </c>
      <c r="O762" s="431">
        <v>4.3600000000000003</v>
      </c>
      <c r="P762" s="431">
        <v>3.75</v>
      </c>
      <c r="Q762" s="179">
        <f t="shared" si="21"/>
        <v>5.5075000000000003</v>
      </c>
      <c r="R762" s="179" t="s">
        <v>994</v>
      </c>
    </row>
    <row r="763" spans="1:18" x14ac:dyDescent="0.15">
      <c r="A763" s="179" t="str">
        <f t="shared" si="20"/>
        <v>Gomez Palacio_Flat Surface_202.5</v>
      </c>
      <c r="B763" s="501" t="s">
        <v>1139</v>
      </c>
      <c r="C763" s="429">
        <v>0</v>
      </c>
      <c r="D763" s="429">
        <v>202.5</v>
      </c>
      <c r="E763" s="431">
        <v>3.98</v>
      </c>
      <c r="F763" s="431">
        <v>4.9400000000000004</v>
      </c>
      <c r="G763" s="431">
        <v>6.11</v>
      </c>
      <c r="H763" s="431">
        <v>6.48</v>
      </c>
      <c r="I763" s="431">
        <v>6.85</v>
      </c>
      <c r="J763" s="431">
        <v>6.79</v>
      </c>
      <c r="K763" s="431">
        <v>6.39</v>
      </c>
      <c r="L763" s="431">
        <v>6.04</v>
      </c>
      <c r="M763" s="431">
        <v>5.29</v>
      </c>
      <c r="N763" s="431">
        <v>5.1100000000000003</v>
      </c>
      <c r="O763" s="431">
        <v>4.3600000000000003</v>
      </c>
      <c r="P763" s="431">
        <v>3.75</v>
      </c>
      <c r="Q763" s="179">
        <f t="shared" si="21"/>
        <v>5.5075000000000003</v>
      </c>
      <c r="R763" s="179" t="s">
        <v>994</v>
      </c>
    </row>
    <row r="764" spans="1:18" x14ac:dyDescent="0.15">
      <c r="A764" s="179" t="str">
        <f t="shared" si="20"/>
        <v>Gomez Palacio_Flat Surface_225</v>
      </c>
      <c r="B764" s="501" t="s">
        <v>1139</v>
      </c>
      <c r="C764" s="429">
        <v>0</v>
      </c>
      <c r="D764" s="429">
        <v>225</v>
      </c>
      <c r="E764" s="431">
        <v>3.98</v>
      </c>
      <c r="F764" s="431">
        <v>4.9400000000000004</v>
      </c>
      <c r="G764" s="431">
        <v>6.11</v>
      </c>
      <c r="H764" s="431">
        <v>6.48</v>
      </c>
      <c r="I764" s="431">
        <v>6.85</v>
      </c>
      <c r="J764" s="431">
        <v>6.79</v>
      </c>
      <c r="K764" s="431">
        <v>6.39</v>
      </c>
      <c r="L764" s="431">
        <v>6.04</v>
      </c>
      <c r="M764" s="431">
        <v>5.29</v>
      </c>
      <c r="N764" s="431">
        <v>5.1100000000000003</v>
      </c>
      <c r="O764" s="431">
        <v>4.3600000000000003</v>
      </c>
      <c r="P764" s="431">
        <v>3.75</v>
      </c>
      <c r="Q764" s="179">
        <f t="shared" si="21"/>
        <v>5.5075000000000003</v>
      </c>
      <c r="R764" s="179" t="s">
        <v>994</v>
      </c>
    </row>
    <row r="765" spans="1:18" x14ac:dyDescent="0.15">
      <c r="A765" s="179" t="str">
        <f t="shared" si="20"/>
        <v>Gomez Palacio_Flat Surface_247.5</v>
      </c>
      <c r="B765" s="501" t="s">
        <v>1139</v>
      </c>
      <c r="C765" s="429">
        <v>0</v>
      </c>
      <c r="D765" s="429">
        <v>247.5</v>
      </c>
      <c r="E765" s="431">
        <v>3.98</v>
      </c>
      <c r="F765" s="431">
        <v>4.9400000000000004</v>
      </c>
      <c r="G765" s="431">
        <v>6.11</v>
      </c>
      <c r="H765" s="431">
        <v>6.48</v>
      </c>
      <c r="I765" s="431">
        <v>6.85</v>
      </c>
      <c r="J765" s="431">
        <v>6.79</v>
      </c>
      <c r="K765" s="431">
        <v>6.39</v>
      </c>
      <c r="L765" s="431">
        <v>6.04</v>
      </c>
      <c r="M765" s="431">
        <v>5.29</v>
      </c>
      <c r="N765" s="431">
        <v>5.1100000000000003</v>
      </c>
      <c r="O765" s="431">
        <v>4.3600000000000003</v>
      </c>
      <c r="P765" s="431">
        <v>3.75</v>
      </c>
      <c r="Q765" s="179">
        <f t="shared" si="21"/>
        <v>5.5075000000000003</v>
      </c>
      <c r="R765" s="179" t="s">
        <v>994</v>
      </c>
    </row>
    <row r="766" spans="1:18" x14ac:dyDescent="0.15">
      <c r="A766" s="179" t="str">
        <f t="shared" si="20"/>
        <v>Gomez Palacio_Flat Surface_270</v>
      </c>
      <c r="B766" s="501" t="s">
        <v>1139</v>
      </c>
      <c r="C766" s="429">
        <v>0</v>
      </c>
      <c r="D766" s="429">
        <v>270</v>
      </c>
      <c r="E766" s="431">
        <v>3.98</v>
      </c>
      <c r="F766" s="431">
        <v>4.9400000000000004</v>
      </c>
      <c r="G766" s="431">
        <v>6.11</v>
      </c>
      <c r="H766" s="431">
        <v>6.48</v>
      </c>
      <c r="I766" s="431">
        <v>6.85</v>
      </c>
      <c r="J766" s="431">
        <v>6.79</v>
      </c>
      <c r="K766" s="431">
        <v>6.39</v>
      </c>
      <c r="L766" s="431">
        <v>6.04</v>
      </c>
      <c r="M766" s="431">
        <v>5.29</v>
      </c>
      <c r="N766" s="431">
        <v>5.1100000000000003</v>
      </c>
      <c r="O766" s="431">
        <v>4.3600000000000003</v>
      </c>
      <c r="P766" s="431">
        <v>3.75</v>
      </c>
      <c r="Q766" s="179">
        <f t="shared" si="21"/>
        <v>5.5075000000000003</v>
      </c>
      <c r="R766" s="179" t="s">
        <v>994</v>
      </c>
    </row>
    <row r="767" spans="1:18" x14ac:dyDescent="0.15">
      <c r="A767" s="179" t="str">
        <f t="shared" si="20"/>
        <v>Gomez Palacio_Optimal Summer_90</v>
      </c>
      <c r="B767" s="501" t="s">
        <v>1139</v>
      </c>
      <c r="C767" s="429">
        <v>11</v>
      </c>
      <c r="D767" s="429">
        <v>90</v>
      </c>
      <c r="E767" s="431">
        <v>3.65</v>
      </c>
      <c r="F767" s="431">
        <v>4.38</v>
      </c>
      <c r="G767" s="431">
        <v>5.19</v>
      </c>
      <c r="H767" s="431">
        <v>5.27</v>
      </c>
      <c r="I767" s="431">
        <v>5.39</v>
      </c>
      <c r="J767" s="431">
        <v>5.29</v>
      </c>
      <c r="K767" s="431">
        <v>5.01</v>
      </c>
      <c r="L767" s="431">
        <v>4.83</v>
      </c>
      <c r="M767" s="431">
        <v>4.38</v>
      </c>
      <c r="N767" s="431">
        <v>4.45</v>
      </c>
      <c r="O767" s="431">
        <v>3.98</v>
      </c>
      <c r="P767" s="431">
        <v>3.48</v>
      </c>
      <c r="Q767" s="179">
        <f t="shared" si="21"/>
        <v>4.6083333333333334</v>
      </c>
      <c r="R767" s="179" t="s">
        <v>958</v>
      </c>
    </row>
    <row r="768" spans="1:18" x14ac:dyDescent="0.15">
      <c r="A768" s="179" t="str">
        <f t="shared" si="20"/>
        <v>Gomez Palacio_Optimal Summer_112.5</v>
      </c>
      <c r="B768" s="501" t="s">
        <v>1139</v>
      </c>
      <c r="C768" s="429">
        <v>11</v>
      </c>
      <c r="D768" s="429">
        <v>112.5</v>
      </c>
      <c r="E768" s="431">
        <v>3.99</v>
      </c>
      <c r="F768" s="431">
        <v>4.8</v>
      </c>
      <c r="G768" s="431">
        <v>5.68</v>
      </c>
      <c r="H768" s="431">
        <v>5.77</v>
      </c>
      <c r="I768" s="431">
        <v>5.9</v>
      </c>
      <c r="J768" s="431">
        <v>5.78</v>
      </c>
      <c r="K768" s="431">
        <v>5.48</v>
      </c>
      <c r="L768" s="431">
        <v>5.28</v>
      </c>
      <c r="M768" s="431">
        <v>4.8</v>
      </c>
      <c r="N768" s="431">
        <v>4.8600000000000003</v>
      </c>
      <c r="O768" s="431">
        <v>4.3499999999999996</v>
      </c>
      <c r="P768" s="431">
        <v>3.81</v>
      </c>
      <c r="Q768" s="179">
        <f t="shared" si="21"/>
        <v>5.041666666666667</v>
      </c>
      <c r="R768" s="179" t="s">
        <v>958</v>
      </c>
    </row>
    <row r="769" spans="1:18" x14ac:dyDescent="0.15">
      <c r="A769" s="179" t="str">
        <f t="shared" si="20"/>
        <v>Gomez Palacio_Optimal Summer_135</v>
      </c>
      <c r="B769" s="501" t="s">
        <v>1139</v>
      </c>
      <c r="C769" s="429">
        <v>11</v>
      </c>
      <c r="D769" s="429">
        <v>135</v>
      </c>
      <c r="E769" s="431">
        <v>4.33</v>
      </c>
      <c r="F769" s="431">
        <v>5.21</v>
      </c>
      <c r="G769" s="431">
        <v>6.17</v>
      </c>
      <c r="H769" s="431">
        <v>6.26</v>
      </c>
      <c r="I769" s="431">
        <v>6.4</v>
      </c>
      <c r="J769" s="431">
        <v>6.28</v>
      </c>
      <c r="K769" s="431">
        <v>5.95</v>
      </c>
      <c r="L769" s="431">
        <v>5.74</v>
      </c>
      <c r="M769" s="431">
        <v>5.21</v>
      </c>
      <c r="N769" s="431">
        <v>5.28</v>
      </c>
      <c r="O769" s="431">
        <v>4.72</v>
      </c>
      <c r="P769" s="431">
        <v>4.13</v>
      </c>
      <c r="Q769" s="179">
        <f t="shared" si="21"/>
        <v>5.4733333333333336</v>
      </c>
      <c r="R769" s="179" t="s">
        <v>958</v>
      </c>
    </row>
    <row r="770" spans="1:18" x14ac:dyDescent="0.15">
      <c r="A770" s="179" t="str">
        <f t="shared" ref="A770:A833" si="22">B770&amp;"_"&amp;R770&amp;"_"&amp;D770</f>
        <v>Gomez Palacio_Optimal Summer_157.5</v>
      </c>
      <c r="B770" s="501" t="s">
        <v>1139</v>
      </c>
      <c r="C770" s="429">
        <v>11</v>
      </c>
      <c r="D770" s="429">
        <v>157.5</v>
      </c>
      <c r="E770" s="431">
        <v>4.45</v>
      </c>
      <c r="F770" s="431">
        <v>5.34</v>
      </c>
      <c r="G770" s="431">
        <v>6.33</v>
      </c>
      <c r="H770" s="431">
        <v>6.43</v>
      </c>
      <c r="I770" s="431">
        <v>6.57</v>
      </c>
      <c r="J770" s="431">
        <v>6.44</v>
      </c>
      <c r="K770" s="431">
        <v>6.1</v>
      </c>
      <c r="L770" s="431">
        <v>5.89</v>
      </c>
      <c r="M770" s="431">
        <v>5.34</v>
      </c>
      <c r="N770" s="431">
        <v>5.42</v>
      </c>
      <c r="O770" s="431">
        <v>4.8499999999999996</v>
      </c>
      <c r="P770" s="431">
        <v>4.24</v>
      </c>
      <c r="Q770" s="179">
        <f t="shared" ref="Q770:Q833" si="23">AVERAGE(E770:P770)</f>
        <v>5.6166666666666671</v>
      </c>
      <c r="R770" s="179" t="s">
        <v>958</v>
      </c>
    </row>
    <row r="771" spans="1:18" x14ac:dyDescent="0.15">
      <c r="A771" s="179" t="str">
        <f t="shared" si="22"/>
        <v>Gomez Palacio_Optimal Summer_180</v>
      </c>
      <c r="B771" s="501" t="s">
        <v>1139</v>
      </c>
      <c r="C771" s="429">
        <v>11</v>
      </c>
      <c r="D771" s="429">
        <v>180</v>
      </c>
      <c r="E771" s="431">
        <v>4.5599999999999996</v>
      </c>
      <c r="F771" s="431">
        <v>5.48</v>
      </c>
      <c r="G771" s="431">
        <v>6.49</v>
      </c>
      <c r="H771" s="431">
        <v>6.59</v>
      </c>
      <c r="I771" s="431">
        <v>6.74</v>
      </c>
      <c r="J771" s="431">
        <v>6.61</v>
      </c>
      <c r="K771" s="431">
        <v>6.26</v>
      </c>
      <c r="L771" s="431">
        <v>6.04</v>
      </c>
      <c r="M771" s="431">
        <v>5.48</v>
      </c>
      <c r="N771" s="431">
        <v>5.56</v>
      </c>
      <c r="O771" s="431">
        <v>4.97</v>
      </c>
      <c r="P771" s="431">
        <v>4.3499999999999996</v>
      </c>
      <c r="Q771" s="179">
        <f t="shared" si="23"/>
        <v>5.7608333333333333</v>
      </c>
      <c r="R771" s="179" t="s">
        <v>958</v>
      </c>
    </row>
    <row r="772" spans="1:18" x14ac:dyDescent="0.15">
      <c r="A772" s="179" t="str">
        <f t="shared" si="22"/>
        <v>Gomez Palacio_Optimal Summer_202.5</v>
      </c>
      <c r="B772" s="501" t="s">
        <v>1139</v>
      </c>
      <c r="C772" s="429">
        <v>11</v>
      </c>
      <c r="D772" s="429">
        <v>202.5</v>
      </c>
      <c r="E772" s="431">
        <v>4.45</v>
      </c>
      <c r="F772" s="431">
        <v>5.34</v>
      </c>
      <c r="G772" s="431">
        <v>6.33</v>
      </c>
      <c r="H772" s="431">
        <v>6.43</v>
      </c>
      <c r="I772" s="431">
        <v>6.57</v>
      </c>
      <c r="J772" s="431">
        <v>6.44</v>
      </c>
      <c r="K772" s="431">
        <v>6.1</v>
      </c>
      <c r="L772" s="431">
        <v>5.89</v>
      </c>
      <c r="M772" s="431">
        <v>5.34</v>
      </c>
      <c r="N772" s="431">
        <v>5.42</v>
      </c>
      <c r="O772" s="431">
        <v>4.8499999999999996</v>
      </c>
      <c r="P772" s="431">
        <v>4.24</v>
      </c>
      <c r="Q772" s="179">
        <f t="shared" si="23"/>
        <v>5.6166666666666671</v>
      </c>
      <c r="R772" s="179" t="s">
        <v>958</v>
      </c>
    </row>
    <row r="773" spans="1:18" x14ac:dyDescent="0.15">
      <c r="A773" s="179" t="str">
        <f t="shared" si="22"/>
        <v>Gomez Palacio_Optimal Summer_225</v>
      </c>
      <c r="B773" s="501" t="s">
        <v>1139</v>
      </c>
      <c r="C773" s="429">
        <v>11</v>
      </c>
      <c r="D773" s="429">
        <v>225</v>
      </c>
      <c r="E773" s="431">
        <v>4.33</v>
      </c>
      <c r="F773" s="431">
        <v>5.21</v>
      </c>
      <c r="G773" s="431">
        <v>6.17</v>
      </c>
      <c r="H773" s="431">
        <v>6.26</v>
      </c>
      <c r="I773" s="431">
        <v>6.4</v>
      </c>
      <c r="J773" s="431">
        <v>6.28</v>
      </c>
      <c r="K773" s="431">
        <v>5.95</v>
      </c>
      <c r="L773" s="431">
        <v>5.74</v>
      </c>
      <c r="M773" s="431">
        <v>5.21</v>
      </c>
      <c r="N773" s="431">
        <v>5.28</v>
      </c>
      <c r="O773" s="431">
        <v>4.72</v>
      </c>
      <c r="P773" s="431">
        <v>4.13</v>
      </c>
      <c r="Q773" s="179">
        <f t="shared" si="23"/>
        <v>5.4733333333333336</v>
      </c>
      <c r="R773" s="179" t="s">
        <v>958</v>
      </c>
    </row>
    <row r="774" spans="1:18" x14ac:dyDescent="0.15">
      <c r="A774" s="179" t="str">
        <f t="shared" si="22"/>
        <v>Gomez Palacio_Optimal Summer_247.5</v>
      </c>
      <c r="B774" s="501" t="s">
        <v>1139</v>
      </c>
      <c r="C774" s="429">
        <v>11</v>
      </c>
      <c r="D774" s="429">
        <v>247.5</v>
      </c>
      <c r="E774" s="431">
        <v>3.99</v>
      </c>
      <c r="F774" s="431">
        <v>4.8</v>
      </c>
      <c r="G774" s="431">
        <v>5.68</v>
      </c>
      <c r="H774" s="431">
        <v>5.77</v>
      </c>
      <c r="I774" s="431">
        <v>5.9</v>
      </c>
      <c r="J774" s="431">
        <v>5.78</v>
      </c>
      <c r="K774" s="431">
        <v>5.48</v>
      </c>
      <c r="L774" s="431">
        <v>5.28</v>
      </c>
      <c r="M774" s="431">
        <v>4.8</v>
      </c>
      <c r="N774" s="431">
        <v>4.8600000000000003</v>
      </c>
      <c r="O774" s="431">
        <v>4.3499999999999996</v>
      </c>
      <c r="P774" s="431">
        <v>3.81</v>
      </c>
      <c r="Q774" s="179">
        <f t="shared" si="23"/>
        <v>5.041666666666667</v>
      </c>
      <c r="R774" s="179" t="s">
        <v>958</v>
      </c>
    </row>
    <row r="775" spans="1:18" x14ac:dyDescent="0.15">
      <c r="A775" s="179" t="str">
        <f t="shared" si="22"/>
        <v>Gomez Palacio_Optimal Summer_270</v>
      </c>
      <c r="B775" s="501" t="s">
        <v>1139</v>
      </c>
      <c r="C775" s="429">
        <v>11</v>
      </c>
      <c r="D775" s="429">
        <v>270</v>
      </c>
      <c r="E775" s="431">
        <v>3.65</v>
      </c>
      <c r="F775" s="431">
        <v>4.38</v>
      </c>
      <c r="G775" s="431">
        <v>5.19</v>
      </c>
      <c r="H775" s="431">
        <v>5.27</v>
      </c>
      <c r="I775" s="431">
        <v>5.39</v>
      </c>
      <c r="J775" s="431">
        <v>5.29</v>
      </c>
      <c r="K775" s="431">
        <v>5.01</v>
      </c>
      <c r="L775" s="431">
        <v>4.83</v>
      </c>
      <c r="M775" s="431">
        <v>4.38</v>
      </c>
      <c r="N775" s="431">
        <v>4.45</v>
      </c>
      <c r="O775" s="431">
        <v>3.98</v>
      </c>
      <c r="P775" s="431">
        <v>3.48</v>
      </c>
      <c r="Q775" s="179">
        <f t="shared" si="23"/>
        <v>4.6083333333333334</v>
      </c>
      <c r="R775" s="179" t="s">
        <v>958</v>
      </c>
    </row>
    <row r="776" spans="1:18" x14ac:dyDescent="0.15">
      <c r="A776" s="179" t="str">
        <f t="shared" si="22"/>
        <v>Gomez Palacio_Optimal Year Round_90</v>
      </c>
      <c r="B776" s="501" t="s">
        <v>1139</v>
      </c>
      <c r="C776" s="429">
        <v>26</v>
      </c>
      <c r="D776" s="429">
        <v>90</v>
      </c>
      <c r="E776" s="431">
        <v>4.18</v>
      </c>
      <c r="F776" s="431">
        <v>4.83</v>
      </c>
      <c r="G776" s="431">
        <v>5.41</v>
      </c>
      <c r="H776" s="431">
        <v>5.18</v>
      </c>
      <c r="I776" s="431">
        <v>5.04</v>
      </c>
      <c r="J776" s="431">
        <v>4.8499999999999996</v>
      </c>
      <c r="K776" s="431">
        <v>4.6399999999999997</v>
      </c>
      <c r="L776" s="431">
        <v>4.63</v>
      </c>
      <c r="M776" s="431">
        <v>4.43</v>
      </c>
      <c r="N776" s="431">
        <v>4.8</v>
      </c>
      <c r="O776" s="431">
        <v>4.53</v>
      </c>
      <c r="P776" s="431">
        <v>4.05</v>
      </c>
      <c r="Q776" s="179">
        <f t="shared" si="23"/>
        <v>4.7141666666666664</v>
      </c>
      <c r="R776" s="179" t="s">
        <v>993</v>
      </c>
    </row>
    <row r="777" spans="1:18" x14ac:dyDescent="0.15">
      <c r="A777" s="179" t="str">
        <f t="shared" si="22"/>
        <v>Gomez Palacio_Optimal Year Round_112.5</v>
      </c>
      <c r="B777" s="501" t="s">
        <v>1139</v>
      </c>
      <c r="C777" s="429">
        <v>26</v>
      </c>
      <c r="D777" s="429">
        <v>112.5</v>
      </c>
      <c r="E777" s="431">
        <v>4.57</v>
      </c>
      <c r="F777" s="431">
        <v>5.28</v>
      </c>
      <c r="G777" s="431">
        <v>5.92</v>
      </c>
      <c r="H777" s="431">
        <v>5.66</v>
      </c>
      <c r="I777" s="431">
        <v>5.51</v>
      </c>
      <c r="J777" s="431">
        <v>5.3</v>
      </c>
      <c r="K777" s="431">
        <v>5.08</v>
      </c>
      <c r="L777" s="431">
        <v>5.07</v>
      </c>
      <c r="M777" s="431">
        <v>4.8499999999999996</v>
      </c>
      <c r="N777" s="431">
        <v>5.25</v>
      </c>
      <c r="O777" s="431">
        <v>4.95</v>
      </c>
      <c r="P777" s="431">
        <v>4.43</v>
      </c>
      <c r="Q777" s="179">
        <f t="shared" si="23"/>
        <v>5.1558333333333328</v>
      </c>
      <c r="R777" s="179" t="s">
        <v>993</v>
      </c>
    </row>
    <row r="778" spans="1:18" x14ac:dyDescent="0.15">
      <c r="A778" s="179" t="str">
        <f t="shared" si="22"/>
        <v>Gomez Palacio_Optimal Year Round_135</v>
      </c>
      <c r="B778" s="501" t="s">
        <v>1139</v>
      </c>
      <c r="C778" s="429">
        <v>26</v>
      </c>
      <c r="D778" s="429">
        <v>135</v>
      </c>
      <c r="E778" s="431">
        <v>4.96</v>
      </c>
      <c r="F778" s="431">
        <v>5.74</v>
      </c>
      <c r="G778" s="431">
        <v>6.42</v>
      </c>
      <c r="H778" s="431">
        <v>6.15</v>
      </c>
      <c r="I778" s="431">
        <v>5.98</v>
      </c>
      <c r="J778" s="431">
        <v>5.76</v>
      </c>
      <c r="K778" s="431">
        <v>5.51</v>
      </c>
      <c r="L778" s="431">
        <v>5.5</v>
      </c>
      <c r="M778" s="431">
        <v>5.26</v>
      </c>
      <c r="N778" s="431">
        <v>5.7</v>
      </c>
      <c r="O778" s="431">
        <v>5.38</v>
      </c>
      <c r="P778" s="431">
        <v>4.8099999999999996</v>
      </c>
      <c r="Q778" s="179">
        <f t="shared" si="23"/>
        <v>5.5975000000000001</v>
      </c>
      <c r="R778" s="179" t="s">
        <v>993</v>
      </c>
    </row>
    <row r="779" spans="1:18" x14ac:dyDescent="0.15">
      <c r="A779" s="179" t="str">
        <f t="shared" si="22"/>
        <v>Gomez Palacio_Optimal Year Round_157.5</v>
      </c>
      <c r="B779" s="501" t="s">
        <v>1139</v>
      </c>
      <c r="C779" s="429">
        <v>26</v>
      </c>
      <c r="D779" s="429">
        <v>157.5</v>
      </c>
      <c r="E779" s="431">
        <v>5.09</v>
      </c>
      <c r="F779" s="431">
        <v>5.89</v>
      </c>
      <c r="G779" s="431">
        <v>6.59</v>
      </c>
      <c r="H779" s="431">
        <v>6.31</v>
      </c>
      <c r="I779" s="431">
        <v>6.14</v>
      </c>
      <c r="J779" s="431">
        <v>5.91</v>
      </c>
      <c r="K779" s="431">
        <v>5.66</v>
      </c>
      <c r="L779" s="431">
        <v>5.65</v>
      </c>
      <c r="M779" s="431">
        <v>5.4</v>
      </c>
      <c r="N779" s="431">
        <v>5.85</v>
      </c>
      <c r="O779" s="431">
        <v>5.52</v>
      </c>
      <c r="P779" s="431">
        <v>4.93</v>
      </c>
      <c r="Q779" s="179">
        <f t="shared" si="23"/>
        <v>5.7450000000000001</v>
      </c>
      <c r="R779" s="179" t="s">
        <v>993</v>
      </c>
    </row>
    <row r="780" spans="1:18" x14ac:dyDescent="0.15">
      <c r="A780" s="179" t="str">
        <f t="shared" si="22"/>
        <v>Gomez Palacio_Optimal Year Round_180</v>
      </c>
      <c r="B780" s="501" t="s">
        <v>1139</v>
      </c>
      <c r="C780" s="429">
        <v>26</v>
      </c>
      <c r="D780" s="429">
        <v>180</v>
      </c>
      <c r="E780" s="431">
        <v>5.22</v>
      </c>
      <c r="F780" s="431">
        <v>6.04</v>
      </c>
      <c r="G780" s="431">
        <v>6.76</v>
      </c>
      <c r="H780" s="431">
        <v>6.47</v>
      </c>
      <c r="I780" s="431">
        <v>6.3</v>
      </c>
      <c r="J780" s="431">
        <v>6.06</v>
      </c>
      <c r="K780" s="431">
        <v>5.8</v>
      </c>
      <c r="L780" s="431">
        <v>5.79</v>
      </c>
      <c r="M780" s="431">
        <v>5.54</v>
      </c>
      <c r="N780" s="431">
        <v>6</v>
      </c>
      <c r="O780" s="431">
        <v>5.66</v>
      </c>
      <c r="P780" s="431">
        <v>5.0599999999999996</v>
      </c>
      <c r="Q780" s="179">
        <f t="shared" si="23"/>
        <v>5.8916666666666666</v>
      </c>
      <c r="R780" s="179" t="s">
        <v>993</v>
      </c>
    </row>
    <row r="781" spans="1:18" x14ac:dyDescent="0.15">
      <c r="A781" s="179" t="str">
        <f t="shared" si="22"/>
        <v>Gomez Palacio_Optimal Year Round_202.5</v>
      </c>
      <c r="B781" s="501" t="s">
        <v>1139</v>
      </c>
      <c r="C781" s="429">
        <v>26</v>
      </c>
      <c r="D781" s="429">
        <v>202.5</v>
      </c>
      <c r="E781" s="431">
        <v>5.09</v>
      </c>
      <c r="F781" s="431">
        <v>5.89</v>
      </c>
      <c r="G781" s="431">
        <v>6.59</v>
      </c>
      <c r="H781" s="431">
        <v>6.31</v>
      </c>
      <c r="I781" s="431">
        <v>6.14</v>
      </c>
      <c r="J781" s="431">
        <v>5.91</v>
      </c>
      <c r="K781" s="431">
        <v>5.66</v>
      </c>
      <c r="L781" s="431">
        <v>5.65</v>
      </c>
      <c r="M781" s="431">
        <v>5.4</v>
      </c>
      <c r="N781" s="431">
        <v>5.85</v>
      </c>
      <c r="O781" s="431">
        <v>5.52</v>
      </c>
      <c r="P781" s="431">
        <v>4.93</v>
      </c>
      <c r="Q781" s="179">
        <f t="shared" si="23"/>
        <v>5.7450000000000001</v>
      </c>
      <c r="R781" s="179" t="s">
        <v>993</v>
      </c>
    </row>
    <row r="782" spans="1:18" x14ac:dyDescent="0.15">
      <c r="A782" s="179" t="str">
        <f t="shared" si="22"/>
        <v>Gomez Palacio_Optimal Year Round_225</v>
      </c>
      <c r="B782" s="501" t="s">
        <v>1139</v>
      </c>
      <c r="C782" s="429">
        <v>26</v>
      </c>
      <c r="D782" s="429">
        <v>225</v>
      </c>
      <c r="E782" s="431">
        <v>4.96</v>
      </c>
      <c r="F782" s="431">
        <v>5.74</v>
      </c>
      <c r="G782" s="431">
        <v>6.42</v>
      </c>
      <c r="H782" s="431">
        <v>6.15</v>
      </c>
      <c r="I782" s="431">
        <v>5.98</v>
      </c>
      <c r="J782" s="431">
        <v>5.76</v>
      </c>
      <c r="K782" s="431">
        <v>5.51</v>
      </c>
      <c r="L782" s="431">
        <v>5.5</v>
      </c>
      <c r="M782" s="431">
        <v>5.26</v>
      </c>
      <c r="N782" s="431">
        <v>5.7</v>
      </c>
      <c r="O782" s="431">
        <v>5.38</v>
      </c>
      <c r="P782" s="431">
        <v>4.8099999999999996</v>
      </c>
      <c r="Q782" s="179">
        <f t="shared" si="23"/>
        <v>5.5975000000000001</v>
      </c>
      <c r="R782" s="179" t="s">
        <v>993</v>
      </c>
    </row>
    <row r="783" spans="1:18" x14ac:dyDescent="0.15">
      <c r="A783" s="179" t="str">
        <f t="shared" si="22"/>
        <v>Gomez Palacio_Optimal Year Round_247.5</v>
      </c>
      <c r="B783" s="501" t="s">
        <v>1139</v>
      </c>
      <c r="C783" s="429">
        <v>26</v>
      </c>
      <c r="D783" s="429">
        <v>247.5</v>
      </c>
      <c r="E783" s="431">
        <v>4.57</v>
      </c>
      <c r="F783" s="431">
        <v>5.28</v>
      </c>
      <c r="G783" s="431">
        <v>5.92</v>
      </c>
      <c r="H783" s="431">
        <v>5.66</v>
      </c>
      <c r="I783" s="431">
        <v>5.51</v>
      </c>
      <c r="J783" s="431">
        <v>5.3</v>
      </c>
      <c r="K783" s="431">
        <v>5.08</v>
      </c>
      <c r="L783" s="431">
        <v>5.07</v>
      </c>
      <c r="M783" s="431">
        <v>4.8499999999999996</v>
      </c>
      <c r="N783" s="431">
        <v>5.25</v>
      </c>
      <c r="O783" s="431">
        <v>4.95</v>
      </c>
      <c r="P783" s="431">
        <v>4.43</v>
      </c>
      <c r="Q783" s="179">
        <f t="shared" si="23"/>
        <v>5.1558333333333328</v>
      </c>
      <c r="R783" s="179" t="s">
        <v>993</v>
      </c>
    </row>
    <row r="784" spans="1:18" x14ac:dyDescent="0.15">
      <c r="A784" s="179" t="str">
        <f t="shared" si="22"/>
        <v>Gomez Palacio_Optimal Year Round_270</v>
      </c>
      <c r="B784" s="501" t="s">
        <v>1139</v>
      </c>
      <c r="C784" s="429">
        <v>26</v>
      </c>
      <c r="D784" s="429">
        <v>270</v>
      </c>
      <c r="E784" s="431">
        <v>4.18</v>
      </c>
      <c r="F784" s="431">
        <v>4.83</v>
      </c>
      <c r="G784" s="431">
        <v>5.41</v>
      </c>
      <c r="H784" s="431">
        <v>5.18</v>
      </c>
      <c r="I784" s="431">
        <v>5.04</v>
      </c>
      <c r="J784" s="431">
        <v>4.8499999999999996</v>
      </c>
      <c r="K784" s="431">
        <v>4.6399999999999997</v>
      </c>
      <c r="L784" s="431">
        <v>4.63</v>
      </c>
      <c r="M784" s="431">
        <v>4.43</v>
      </c>
      <c r="N784" s="431">
        <v>4.8</v>
      </c>
      <c r="O784" s="431">
        <v>4.53</v>
      </c>
      <c r="P784" s="431">
        <v>4.05</v>
      </c>
      <c r="Q784" s="179">
        <f t="shared" si="23"/>
        <v>4.7141666666666664</v>
      </c>
      <c r="R784" s="179" t="s">
        <v>993</v>
      </c>
    </row>
    <row r="785" spans="1:18" x14ac:dyDescent="0.15">
      <c r="A785" s="179" t="str">
        <f t="shared" si="22"/>
        <v>Guadalajara_Flat Surface_90</v>
      </c>
      <c r="B785" s="501" t="s">
        <v>866</v>
      </c>
      <c r="C785" s="429">
        <v>0</v>
      </c>
      <c r="D785" s="429">
        <v>90</v>
      </c>
      <c r="E785" s="431">
        <v>4.7699999999999996</v>
      </c>
      <c r="F785" s="431">
        <v>5.72</v>
      </c>
      <c r="G785" s="431">
        <v>6.78</v>
      </c>
      <c r="H785" s="431">
        <v>7.11</v>
      </c>
      <c r="I785" s="431">
        <v>7.11</v>
      </c>
      <c r="J785" s="431">
        <v>6.17</v>
      </c>
      <c r="K785" s="431">
        <v>5.63</v>
      </c>
      <c r="L785" s="431">
        <v>5.51</v>
      </c>
      <c r="M785" s="431">
        <v>5.14</v>
      </c>
      <c r="N785" s="431">
        <v>5.31</v>
      </c>
      <c r="O785" s="431">
        <v>5.13</v>
      </c>
      <c r="P785" s="431">
        <v>4.45</v>
      </c>
      <c r="Q785" s="179">
        <f t="shared" si="23"/>
        <v>5.7358333333333329</v>
      </c>
      <c r="R785" s="179" t="s">
        <v>994</v>
      </c>
    </row>
    <row r="786" spans="1:18" x14ac:dyDescent="0.15">
      <c r="A786" s="179" t="str">
        <f t="shared" si="22"/>
        <v>Guadalajara_Flat Surface_112.5</v>
      </c>
      <c r="B786" s="501" t="s">
        <v>866</v>
      </c>
      <c r="C786" s="429">
        <v>0</v>
      </c>
      <c r="D786" s="429">
        <v>112.5</v>
      </c>
      <c r="E786" s="431">
        <v>4.7699999999999996</v>
      </c>
      <c r="F786" s="431">
        <v>5.72</v>
      </c>
      <c r="G786" s="431">
        <v>6.78</v>
      </c>
      <c r="H786" s="431">
        <v>7.11</v>
      </c>
      <c r="I786" s="431">
        <v>7.11</v>
      </c>
      <c r="J786" s="431">
        <v>6.17</v>
      </c>
      <c r="K786" s="431">
        <v>5.63</v>
      </c>
      <c r="L786" s="431">
        <v>5.51</v>
      </c>
      <c r="M786" s="431">
        <v>5.14</v>
      </c>
      <c r="N786" s="431">
        <v>5.31</v>
      </c>
      <c r="O786" s="431">
        <v>5.13</v>
      </c>
      <c r="P786" s="431">
        <v>4.45</v>
      </c>
      <c r="Q786" s="179">
        <f t="shared" si="23"/>
        <v>5.7358333333333329</v>
      </c>
      <c r="R786" s="179" t="s">
        <v>994</v>
      </c>
    </row>
    <row r="787" spans="1:18" x14ac:dyDescent="0.15">
      <c r="A787" s="179" t="str">
        <f t="shared" si="22"/>
        <v>Guadalajara_Flat Surface_135</v>
      </c>
      <c r="B787" s="501" t="s">
        <v>866</v>
      </c>
      <c r="C787" s="429">
        <v>0</v>
      </c>
      <c r="D787" s="429">
        <v>135</v>
      </c>
      <c r="E787" s="431">
        <v>4.7699999999999996</v>
      </c>
      <c r="F787" s="431">
        <v>5.72</v>
      </c>
      <c r="G787" s="431">
        <v>6.78</v>
      </c>
      <c r="H787" s="431">
        <v>7.11</v>
      </c>
      <c r="I787" s="431">
        <v>7.11</v>
      </c>
      <c r="J787" s="431">
        <v>6.17</v>
      </c>
      <c r="K787" s="431">
        <v>5.63</v>
      </c>
      <c r="L787" s="431">
        <v>5.51</v>
      </c>
      <c r="M787" s="431">
        <v>5.14</v>
      </c>
      <c r="N787" s="431">
        <v>5.31</v>
      </c>
      <c r="O787" s="431">
        <v>5.13</v>
      </c>
      <c r="P787" s="431">
        <v>4.45</v>
      </c>
      <c r="Q787" s="179">
        <f t="shared" si="23"/>
        <v>5.7358333333333329</v>
      </c>
      <c r="R787" s="179" t="s">
        <v>994</v>
      </c>
    </row>
    <row r="788" spans="1:18" x14ac:dyDescent="0.15">
      <c r="A788" s="179" t="str">
        <f t="shared" si="22"/>
        <v>Guadalajara_Flat Surface_157.5</v>
      </c>
      <c r="B788" s="501" t="s">
        <v>866</v>
      </c>
      <c r="C788" s="429">
        <v>0</v>
      </c>
      <c r="D788" s="429">
        <v>157.5</v>
      </c>
      <c r="E788" s="431">
        <v>4.7699999999999996</v>
      </c>
      <c r="F788" s="431">
        <v>5.72</v>
      </c>
      <c r="G788" s="431">
        <v>6.78</v>
      </c>
      <c r="H788" s="431">
        <v>7.11</v>
      </c>
      <c r="I788" s="431">
        <v>7.11</v>
      </c>
      <c r="J788" s="431">
        <v>6.17</v>
      </c>
      <c r="K788" s="431">
        <v>5.63</v>
      </c>
      <c r="L788" s="431">
        <v>5.51</v>
      </c>
      <c r="M788" s="431">
        <v>5.14</v>
      </c>
      <c r="N788" s="431">
        <v>5.31</v>
      </c>
      <c r="O788" s="431">
        <v>5.13</v>
      </c>
      <c r="P788" s="431">
        <v>4.45</v>
      </c>
      <c r="Q788" s="179">
        <f t="shared" si="23"/>
        <v>5.7358333333333329</v>
      </c>
      <c r="R788" s="179" t="s">
        <v>994</v>
      </c>
    </row>
    <row r="789" spans="1:18" x14ac:dyDescent="0.15">
      <c r="A789" s="179" t="str">
        <f t="shared" si="22"/>
        <v>Guadalajara_Flat Surface_180</v>
      </c>
      <c r="B789" s="501" t="s">
        <v>866</v>
      </c>
      <c r="C789" s="429">
        <v>0</v>
      </c>
      <c r="D789" s="429">
        <v>180</v>
      </c>
      <c r="E789" s="431">
        <v>4.7699999999999996</v>
      </c>
      <c r="F789" s="431">
        <v>5.72</v>
      </c>
      <c r="G789" s="431">
        <v>6.78</v>
      </c>
      <c r="H789" s="431">
        <v>7.11</v>
      </c>
      <c r="I789" s="431">
        <v>7.11</v>
      </c>
      <c r="J789" s="431">
        <v>6.17</v>
      </c>
      <c r="K789" s="431">
        <v>5.63</v>
      </c>
      <c r="L789" s="431">
        <v>5.51</v>
      </c>
      <c r="M789" s="431">
        <v>5.14</v>
      </c>
      <c r="N789" s="431">
        <v>5.31</v>
      </c>
      <c r="O789" s="431">
        <v>5.13</v>
      </c>
      <c r="P789" s="431">
        <v>4.45</v>
      </c>
      <c r="Q789" s="179">
        <f t="shared" si="23"/>
        <v>5.7358333333333329</v>
      </c>
      <c r="R789" s="179" t="s">
        <v>994</v>
      </c>
    </row>
    <row r="790" spans="1:18" x14ac:dyDescent="0.15">
      <c r="A790" s="179" t="str">
        <f t="shared" si="22"/>
        <v>Guadalajara_Flat Surface_202.5</v>
      </c>
      <c r="B790" s="501" t="s">
        <v>866</v>
      </c>
      <c r="C790" s="429">
        <v>0</v>
      </c>
      <c r="D790" s="429">
        <v>202.5</v>
      </c>
      <c r="E790" s="431">
        <v>4.7699999999999996</v>
      </c>
      <c r="F790" s="431">
        <v>5.72</v>
      </c>
      <c r="G790" s="431">
        <v>6.78</v>
      </c>
      <c r="H790" s="431">
        <v>7.11</v>
      </c>
      <c r="I790" s="431">
        <v>7.11</v>
      </c>
      <c r="J790" s="431">
        <v>6.17</v>
      </c>
      <c r="K790" s="431">
        <v>5.63</v>
      </c>
      <c r="L790" s="431">
        <v>5.51</v>
      </c>
      <c r="M790" s="431">
        <v>5.14</v>
      </c>
      <c r="N790" s="431">
        <v>5.31</v>
      </c>
      <c r="O790" s="431">
        <v>5.13</v>
      </c>
      <c r="P790" s="431">
        <v>4.45</v>
      </c>
      <c r="Q790" s="179">
        <f t="shared" si="23"/>
        <v>5.7358333333333329</v>
      </c>
      <c r="R790" s="179" t="s">
        <v>994</v>
      </c>
    </row>
    <row r="791" spans="1:18" x14ac:dyDescent="0.15">
      <c r="A791" s="179" t="str">
        <f t="shared" si="22"/>
        <v>Guadalajara_Flat Surface_225</v>
      </c>
      <c r="B791" s="501" t="s">
        <v>866</v>
      </c>
      <c r="C791" s="429">
        <v>0</v>
      </c>
      <c r="D791" s="429">
        <v>225</v>
      </c>
      <c r="E791" s="431">
        <v>4.7699999999999996</v>
      </c>
      <c r="F791" s="431">
        <v>5.72</v>
      </c>
      <c r="G791" s="431">
        <v>6.78</v>
      </c>
      <c r="H791" s="431">
        <v>7.11</v>
      </c>
      <c r="I791" s="431">
        <v>7.11</v>
      </c>
      <c r="J791" s="431">
        <v>6.17</v>
      </c>
      <c r="K791" s="431">
        <v>5.63</v>
      </c>
      <c r="L791" s="431">
        <v>5.51</v>
      </c>
      <c r="M791" s="431">
        <v>5.14</v>
      </c>
      <c r="N791" s="431">
        <v>5.31</v>
      </c>
      <c r="O791" s="431">
        <v>5.13</v>
      </c>
      <c r="P791" s="431">
        <v>4.45</v>
      </c>
      <c r="Q791" s="179">
        <f t="shared" si="23"/>
        <v>5.7358333333333329</v>
      </c>
      <c r="R791" s="179" t="s">
        <v>994</v>
      </c>
    </row>
    <row r="792" spans="1:18" x14ac:dyDescent="0.15">
      <c r="A792" s="179" t="str">
        <f t="shared" si="22"/>
        <v>Guadalajara_Flat Surface_247.5</v>
      </c>
      <c r="B792" s="501" t="s">
        <v>866</v>
      </c>
      <c r="C792" s="429">
        <v>0</v>
      </c>
      <c r="D792" s="429">
        <v>247.5</v>
      </c>
      <c r="E792" s="431">
        <v>4.7699999999999996</v>
      </c>
      <c r="F792" s="431">
        <v>5.72</v>
      </c>
      <c r="G792" s="431">
        <v>6.78</v>
      </c>
      <c r="H792" s="431">
        <v>7.11</v>
      </c>
      <c r="I792" s="431">
        <v>7.11</v>
      </c>
      <c r="J792" s="431">
        <v>6.17</v>
      </c>
      <c r="K792" s="431">
        <v>5.63</v>
      </c>
      <c r="L792" s="431">
        <v>5.51</v>
      </c>
      <c r="M792" s="431">
        <v>5.14</v>
      </c>
      <c r="N792" s="431">
        <v>5.31</v>
      </c>
      <c r="O792" s="431">
        <v>5.13</v>
      </c>
      <c r="P792" s="431">
        <v>4.45</v>
      </c>
      <c r="Q792" s="179">
        <f t="shared" si="23"/>
        <v>5.7358333333333329</v>
      </c>
      <c r="R792" s="179" t="s">
        <v>994</v>
      </c>
    </row>
    <row r="793" spans="1:18" x14ac:dyDescent="0.15">
      <c r="A793" s="179" t="str">
        <f t="shared" si="22"/>
        <v>Guadalajara_Flat Surface_270</v>
      </c>
      <c r="B793" s="501" t="s">
        <v>866</v>
      </c>
      <c r="C793" s="429">
        <v>0</v>
      </c>
      <c r="D793" s="429">
        <v>270</v>
      </c>
      <c r="E793" s="431">
        <v>4.7699999999999996</v>
      </c>
      <c r="F793" s="431">
        <v>5.72</v>
      </c>
      <c r="G793" s="431">
        <v>6.78</v>
      </c>
      <c r="H793" s="431">
        <v>7.11</v>
      </c>
      <c r="I793" s="431">
        <v>7.11</v>
      </c>
      <c r="J793" s="431">
        <v>6.17</v>
      </c>
      <c r="K793" s="431">
        <v>5.63</v>
      </c>
      <c r="L793" s="431">
        <v>5.51</v>
      </c>
      <c r="M793" s="431">
        <v>5.14</v>
      </c>
      <c r="N793" s="431">
        <v>5.31</v>
      </c>
      <c r="O793" s="431">
        <v>5.13</v>
      </c>
      <c r="P793" s="431">
        <v>4.45</v>
      </c>
      <c r="Q793" s="179">
        <f t="shared" si="23"/>
        <v>5.7358333333333329</v>
      </c>
      <c r="R793" s="179" t="s">
        <v>994</v>
      </c>
    </row>
    <row r="794" spans="1:18" x14ac:dyDescent="0.15">
      <c r="A794" s="179" t="str">
        <f t="shared" si="22"/>
        <v>Guadalajara_Optimal Summer_90</v>
      </c>
      <c r="B794" s="501" t="s">
        <v>866</v>
      </c>
      <c r="C794" s="429">
        <v>6</v>
      </c>
      <c r="D794" s="429">
        <v>90</v>
      </c>
      <c r="E794" s="431">
        <v>4.0999999999999996</v>
      </c>
      <c r="F794" s="431">
        <v>4.82</v>
      </c>
      <c r="G794" s="431">
        <v>5.58</v>
      </c>
      <c r="H794" s="431">
        <v>5.72</v>
      </c>
      <c r="I794" s="431">
        <v>5.63</v>
      </c>
      <c r="J794" s="431">
        <v>4.9800000000000004</v>
      </c>
      <c r="K794" s="431">
        <v>4.53</v>
      </c>
      <c r="L794" s="431">
        <v>4.41</v>
      </c>
      <c r="M794" s="431">
        <v>4.17</v>
      </c>
      <c r="N794" s="431">
        <v>4.41</v>
      </c>
      <c r="O794" s="431">
        <v>4.38</v>
      </c>
      <c r="P794" s="431">
        <v>3.82</v>
      </c>
      <c r="Q794" s="179">
        <f t="shared" si="23"/>
        <v>4.7124999999999995</v>
      </c>
      <c r="R794" s="179" t="s">
        <v>958</v>
      </c>
    </row>
    <row r="795" spans="1:18" x14ac:dyDescent="0.15">
      <c r="A795" s="179" t="str">
        <f t="shared" si="22"/>
        <v>Guadalajara_Optimal Summer_112.5</v>
      </c>
      <c r="B795" s="501" t="s">
        <v>866</v>
      </c>
      <c r="C795" s="429">
        <v>6</v>
      </c>
      <c r="D795" s="429">
        <v>112.5</v>
      </c>
      <c r="E795" s="431">
        <v>4.4800000000000004</v>
      </c>
      <c r="F795" s="431">
        <v>5.27</v>
      </c>
      <c r="G795" s="431">
        <v>6.1</v>
      </c>
      <c r="H795" s="431">
        <v>6.26</v>
      </c>
      <c r="I795" s="431">
        <v>6.16</v>
      </c>
      <c r="J795" s="431">
        <v>5.44</v>
      </c>
      <c r="K795" s="431">
        <v>4.95</v>
      </c>
      <c r="L795" s="431">
        <v>4.82</v>
      </c>
      <c r="M795" s="431">
        <v>4.5599999999999996</v>
      </c>
      <c r="N795" s="431">
        <v>4.82</v>
      </c>
      <c r="O795" s="431">
        <v>4.8</v>
      </c>
      <c r="P795" s="431">
        <v>4.18</v>
      </c>
      <c r="Q795" s="179">
        <f t="shared" si="23"/>
        <v>5.1533333333333333</v>
      </c>
      <c r="R795" s="179" t="s">
        <v>958</v>
      </c>
    </row>
    <row r="796" spans="1:18" x14ac:dyDescent="0.15">
      <c r="A796" s="179" t="str">
        <f t="shared" si="22"/>
        <v>Guadalajara_Optimal Summer_135</v>
      </c>
      <c r="B796" s="501" t="s">
        <v>866</v>
      </c>
      <c r="C796" s="429">
        <v>6</v>
      </c>
      <c r="D796" s="429">
        <v>135</v>
      </c>
      <c r="E796" s="431">
        <v>4.8600000000000003</v>
      </c>
      <c r="F796" s="431">
        <v>5.72</v>
      </c>
      <c r="G796" s="431">
        <v>6.62</v>
      </c>
      <c r="H796" s="431">
        <v>6.79</v>
      </c>
      <c r="I796" s="431">
        <v>6.69</v>
      </c>
      <c r="J796" s="431">
        <v>5.91</v>
      </c>
      <c r="K796" s="431">
        <v>5.38</v>
      </c>
      <c r="L796" s="431">
        <v>5.23</v>
      </c>
      <c r="M796" s="431">
        <v>4.95</v>
      </c>
      <c r="N796" s="431">
        <v>5.23</v>
      </c>
      <c r="O796" s="431">
        <v>5.21</v>
      </c>
      <c r="P796" s="431">
        <v>4.54</v>
      </c>
      <c r="Q796" s="179">
        <f t="shared" si="23"/>
        <v>5.5941666666666672</v>
      </c>
      <c r="R796" s="179" t="s">
        <v>958</v>
      </c>
    </row>
    <row r="797" spans="1:18" x14ac:dyDescent="0.15">
      <c r="A797" s="179" t="str">
        <f t="shared" si="22"/>
        <v>Guadalajara_Optimal Summer_157.5</v>
      </c>
      <c r="B797" s="501" t="s">
        <v>866</v>
      </c>
      <c r="C797" s="429">
        <v>6</v>
      </c>
      <c r="D797" s="429">
        <v>157.5</v>
      </c>
      <c r="E797" s="431">
        <v>4.99</v>
      </c>
      <c r="F797" s="431">
        <v>5.87</v>
      </c>
      <c r="G797" s="431">
        <v>6.8</v>
      </c>
      <c r="H797" s="431">
        <v>6.97</v>
      </c>
      <c r="I797" s="431">
        <v>6.86</v>
      </c>
      <c r="J797" s="431">
        <v>6.06</v>
      </c>
      <c r="K797" s="431">
        <v>5.52</v>
      </c>
      <c r="L797" s="431">
        <v>5.37</v>
      </c>
      <c r="M797" s="431">
        <v>5.08</v>
      </c>
      <c r="N797" s="431">
        <v>5.37</v>
      </c>
      <c r="O797" s="431">
        <v>5.34</v>
      </c>
      <c r="P797" s="431">
        <v>4.66</v>
      </c>
      <c r="Q797" s="179">
        <f t="shared" si="23"/>
        <v>5.7408333333333319</v>
      </c>
      <c r="R797" s="179" t="s">
        <v>958</v>
      </c>
    </row>
    <row r="798" spans="1:18" x14ac:dyDescent="0.15">
      <c r="A798" s="179" t="str">
        <f t="shared" si="22"/>
        <v>Guadalajara_Optimal Summer_180</v>
      </c>
      <c r="B798" s="501" t="s">
        <v>866</v>
      </c>
      <c r="C798" s="429">
        <v>6</v>
      </c>
      <c r="D798" s="429">
        <v>180</v>
      </c>
      <c r="E798" s="431">
        <v>5.12</v>
      </c>
      <c r="F798" s="431">
        <v>6.02</v>
      </c>
      <c r="G798" s="431">
        <v>6.97</v>
      </c>
      <c r="H798" s="431">
        <v>7.15</v>
      </c>
      <c r="I798" s="431">
        <v>7.04</v>
      </c>
      <c r="J798" s="431">
        <v>6.22</v>
      </c>
      <c r="K798" s="431">
        <v>5.66</v>
      </c>
      <c r="L798" s="431">
        <v>5.51</v>
      </c>
      <c r="M798" s="431">
        <v>5.21</v>
      </c>
      <c r="N798" s="431">
        <v>5.51</v>
      </c>
      <c r="O798" s="431">
        <v>5.48</v>
      </c>
      <c r="P798" s="431">
        <v>4.78</v>
      </c>
      <c r="Q798" s="179">
        <f t="shared" si="23"/>
        <v>5.8891666666666653</v>
      </c>
      <c r="R798" s="179" t="s">
        <v>958</v>
      </c>
    </row>
    <row r="799" spans="1:18" x14ac:dyDescent="0.15">
      <c r="A799" s="179" t="str">
        <f t="shared" si="22"/>
        <v>Guadalajara_Optimal Summer_202.5</v>
      </c>
      <c r="B799" s="501" t="s">
        <v>866</v>
      </c>
      <c r="C799" s="429">
        <v>6</v>
      </c>
      <c r="D799" s="429">
        <v>202.5</v>
      </c>
      <c r="E799" s="431">
        <v>4.99</v>
      </c>
      <c r="F799" s="431">
        <v>5.87</v>
      </c>
      <c r="G799" s="431">
        <v>6.8</v>
      </c>
      <c r="H799" s="431">
        <v>6.97</v>
      </c>
      <c r="I799" s="431">
        <v>6.86</v>
      </c>
      <c r="J799" s="431">
        <v>6.06</v>
      </c>
      <c r="K799" s="431">
        <v>5.52</v>
      </c>
      <c r="L799" s="431">
        <v>5.37</v>
      </c>
      <c r="M799" s="431">
        <v>5.08</v>
      </c>
      <c r="N799" s="431">
        <v>5.37</v>
      </c>
      <c r="O799" s="431">
        <v>5.34</v>
      </c>
      <c r="P799" s="431">
        <v>4.66</v>
      </c>
      <c r="Q799" s="179">
        <f t="shared" si="23"/>
        <v>5.7408333333333319</v>
      </c>
      <c r="R799" s="179" t="s">
        <v>958</v>
      </c>
    </row>
    <row r="800" spans="1:18" x14ac:dyDescent="0.15">
      <c r="A800" s="179" t="str">
        <f t="shared" si="22"/>
        <v>Guadalajara_Optimal Summer_225</v>
      </c>
      <c r="B800" s="501" t="s">
        <v>866</v>
      </c>
      <c r="C800" s="429">
        <v>6</v>
      </c>
      <c r="D800" s="429">
        <v>225</v>
      </c>
      <c r="E800" s="431">
        <v>4.8600000000000003</v>
      </c>
      <c r="F800" s="431">
        <v>5.72</v>
      </c>
      <c r="G800" s="431">
        <v>6.62</v>
      </c>
      <c r="H800" s="431">
        <v>6.79</v>
      </c>
      <c r="I800" s="431">
        <v>6.69</v>
      </c>
      <c r="J800" s="431">
        <v>5.91</v>
      </c>
      <c r="K800" s="431">
        <v>5.38</v>
      </c>
      <c r="L800" s="431">
        <v>5.23</v>
      </c>
      <c r="M800" s="431">
        <v>4.95</v>
      </c>
      <c r="N800" s="431">
        <v>5.23</v>
      </c>
      <c r="O800" s="431">
        <v>5.21</v>
      </c>
      <c r="P800" s="431">
        <v>4.54</v>
      </c>
      <c r="Q800" s="179">
        <f t="shared" si="23"/>
        <v>5.5941666666666672</v>
      </c>
      <c r="R800" s="179" t="s">
        <v>958</v>
      </c>
    </row>
    <row r="801" spans="1:18" x14ac:dyDescent="0.15">
      <c r="A801" s="179" t="str">
        <f t="shared" si="22"/>
        <v>Guadalajara_Optimal Summer_247.5</v>
      </c>
      <c r="B801" s="501" t="s">
        <v>866</v>
      </c>
      <c r="C801" s="429">
        <v>6</v>
      </c>
      <c r="D801" s="429">
        <v>247.5</v>
      </c>
      <c r="E801" s="431">
        <v>4.4800000000000004</v>
      </c>
      <c r="F801" s="431">
        <v>5.27</v>
      </c>
      <c r="G801" s="431">
        <v>6.1</v>
      </c>
      <c r="H801" s="431">
        <v>6.26</v>
      </c>
      <c r="I801" s="431">
        <v>6.16</v>
      </c>
      <c r="J801" s="431">
        <v>5.44</v>
      </c>
      <c r="K801" s="431">
        <v>4.95</v>
      </c>
      <c r="L801" s="431">
        <v>4.82</v>
      </c>
      <c r="M801" s="431">
        <v>4.5599999999999996</v>
      </c>
      <c r="N801" s="431">
        <v>4.82</v>
      </c>
      <c r="O801" s="431">
        <v>4.8</v>
      </c>
      <c r="P801" s="431">
        <v>4.18</v>
      </c>
      <c r="Q801" s="179">
        <f t="shared" si="23"/>
        <v>5.1533333333333333</v>
      </c>
      <c r="R801" s="179" t="s">
        <v>958</v>
      </c>
    </row>
    <row r="802" spans="1:18" x14ac:dyDescent="0.15">
      <c r="A802" s="179" t="str">
        <f t="shared" si="22"/>
        <v>Guadalajara_Optimal Summer_270</v>
      </c>
      <c r="B802" s="501" t="s">
        <v>866</v>
      </c>
      <c r="C802" s="429">
        <v>6</v>
      </c>
      <c r="D802" s="429">
        <v>270</v>
      </c>
      <c r="E802" s="431">
        <v>4.0999999999999996</v>
      </c>
      <c r="F802" s="431">
        <v>4.82</v>
      </c>
      <c r="G802" s="431">
        <v>5.58</v>
      </c>
      <c r="H802" s="431">
        <v>5.72</v>
      </c>
      <c r="I802" s="431">
        <v>5.63</v>
      </c>
      <c r="J802" s="431">
        <v>4.9800000000000004</v>
      </c>
      <c r="K802" s="431">
        <v>4.53</v>
      </c>
      <c r="L802" s="431">
        <v>4.41</v>
      </c>
      <c r="M802" s="431">
        <v>4.17</v>
      </c>
      <c r="N802" s="431">
        <v>4.41</v>
      </c>
      <c r="O802" s="431">
        <v>4.38</v>
      </c>
      <c r="P802" s="431">
        <v>3.82</v>
      </c>
      <c r="Q802" s="179">
        <f t="shared" si="23"/>
        <v>4.7124999999999995</v>
      </c>
      <c r="R802" s="179" t="s">
        <v>958</v>
      </c>
    </row>
    <row r="803" spans="1:18" x14ac:dyDescent="0.15">
      <c r="A803" s="179" t="str">
        <f t="shared" si="22"/>
        <v>Guadalajara_Optimal Year Round_90</v>
      </c>
      <c r="B803" s="501" t="s">
        <v>866</v>
      </c>
      <c r="C803" s="429">
        <v>21</v>
      </c>
      <c r="D803" s="429">
        <v>90</v>
      </c>
      <c r="E803" s="431">
        <v>4.76</v>
      </c>
      <c r="F803" s="431">
        <v>5.33</v>
      </c>
      <c r="G803" s="431">
        <v>5.83</v>
      </c>
      <c r="H803" s="431">
        <v>5.62</v>
      </c>
      <c r="I803" s="431">
        <v>5.26</v>
      </c>
      <c r="J803" s="431">
        <v>4.9400000000000004</v>
      </c>
      <c r="K803" s="431">
        <v>4.46</v>
      </c>
      <c r="L803" s="431">
        <v>4.26</v>
      </c>
      <c r="M803" s="431">
        <v>4.21</v>
      </c>
      <c r="N803" s="431">
        <v>4.74</v>
      </c>
      <c r="O803" s="431">
        <v>5.05</v>
      </c>
      <c r="P803" s="431">
        <v>4.46</v>
      </c>
      <c r="Q803" s="179">
        <f t="shared" si="23"/>
        <v>4.9099999999999993</v>
      </c>
      <c r="R803" s="179" t="s">
        <v>993</v>
      </c>
    </row>
    <row r="804" spans="1:18" x14ac:dyDescent="0.15">
      <c r="A804" s="179" t="str">
        <f t="shared" si="22"/>
        <v>Guadalajara_Optimal Year Round_112.5</v>
      </c>
      <c r="B804" s="501" t="s">
        <v>866</v>
      </c>
      <c r="C804" s="429">
        <v>21</v>
      </c>
      <c r="D804" s="429">
        <v>112.5</v>
      </c>
      <c r="E804" s="431">
        <v>5.21</v>
      </c>
      <c r="F804" s="431">
        <v>5.83</v>
      </c>
      <c r="G804" s="431">
        <v>6.38</v>
      </c>
      <c r="H804" s="431">
        <v>6.15</v>
      </c>
      <c r="I804" s="431">
        <v>5.75</v>
      </c>
      <c r="J804" s="431">
        <v>5.41</v>
      </c>
      <c r="K804" s="431">
        <v>4.88</v>
      </c>
      <c r="L804" s="431">
        <v>4.66</v>
      </c>
      <c r="M804" s="431">
        <v>4.5999999999999996</v>
      </c>
      <c r="N804" s="431">
        <v>5.19</v>
      </c>
      <c r="O804" s="431">
        <v>5.52</v>
      </c>
      <c r="P804" s="431">
        <v>4.88</v>
      </c>
      <c r="Q804" s="179">
        <f t="shared" si="23"/>
        <v>5.371666666666667</v>
      </c>
      <c r="R804" s="179" t="s">
        <v>993</v>
      </c>
    </row>
    <row r="805" spans="1:18" x14ac:dyDescent="0.15">
      <c r="A805" s="179" t="str">
        <f t="shared" si="22"/>
        <v>Guadalajara_Optimal Year Round_135</v>
      </c>
      <c r="B805" s="501" t="s">
        <v>866</v>
      </c>
      <c r="C805" s="429">
        <v>21</v>
      </c>
      <c r="D805" s="429">
        <v>135</v>
      </c>
      <c r="E805" s="431">
        <v>5.65</v>
      </c>
      <c r="F805" s="431">
        <v>6.33</v>
      </c>
      <c r="G805" s="431">
        <v>6.93</v>
      </c>
      <c r="H805" s="431">
        <v>6.68</v>
      </c>
      <c r="I805" s="431">
        <v>6.24</v>
      </c>
      <c r="J805" s="431">
        <v>5.87</v>
      </c>
      <c r="K805" s="431">
        <v>5.3</v>
      </c>
      <c r="L805" s="431">
        <v>5.0599999999999996</v>
      </c>
      <c r="M805" s="431">
        <v>5</v>
      </c>
      <c r="N805" s="431">
        <v>5.63</v>
      </c>
      <c r="O805" s="431">
        <v>5.99</v>
      </c>
      <c r="P805" s="431">
        <v>5.3</v>
      </c>
      <c r="Q805" s="179">
        <f t="shared" si="23"/>
        <v>5.8316666666666661</v>
      </c>
      <c r="R805" s="179" t="s">
        <v>993</v>
      </c>
    </row>
    <row r="806" spans="1:18" x14ac:dyDescent="0.15">
      <c r="A806" s="179" t="str">
        <f t="shared" si="22"/>
        <v>Guadalajara_Optimal Year Round_157.5</v>
      </c>
      <c r="B806" s="501" t="s">
        <v>866</v>
      </c>
      <c r="C806" s="429">
        <v>21</v>
      </c>
      <c r="D806" s="429">
        <v>157.5</v>
      </c>
      <c r="E806" s="431">
        <v>5.8</v>
      </c>
      <c r="F806" s="431">
        <v>6.49</v>
      </c>
      <c r="G806" s="431">
        <v>7.11</v>
      </c>
      <c r="H806" s="431">
        <v>6.85</v>
      </c>
      <c r="I806" s="431">
        <v>6.41</v>
      </c>
      <c r="J806" s="431">
        <v>6.03</v>
      </c>
      <c r="K806" s="431">
        <v>5.44</v>
      </c>
      <c r="L806" s="431">
        <v>5.2</v>
      </c>
      <c r="M806" s="431">
        <v>5.13</v>
      </c>
      <c r="N806" s="431">
        <v>5.78</v>
      </c>
      <c r="O806" s="431">
        <v>6.15</v>
      </c>
      <c r="P806" s="431">
        <v>5.44</v>
      </c>
      <c r="Q806" s="179">
        <f t="shared" si="23"/>
        <v>5.9858333333333329</v>
      </c>
      <c r="R806" s="179" t="s">
        <v>993</v>
      </c>
    </row>
    <row r="807" spans="1:18" x14ac:dyDescent="0.15">
      <c r="A807" s="179" t="str">
        <f t="shared" si="22"/>
        <v>Guadalajara_Optimal Year Round_180</v>
      </c>
      <c r="B807" s="501" t="s">
        <v>866</v>
      </c>
      <c r="C807" s="429">
        <v>21</v>
      </c>
      <c r="D807" s="429">
        <v>180</v>
      </c>
      <c r="E807" s="431">
        <v>5.95</v>
      </c>
      <c r="F807" s="431">
        <v>6.66</v>
      </c>
      <c r="G807" s="431">
        <v>7.29</v>
      </c>
      <c r="H807" s="431">
        <v>7.03</v>
      </c>
      <c r="I807" s="431">
        <v>6.57</v>
      </c>
      <c r="J807" s="431">
        <v>6.18</v>
      </c>
      <c r="K807" s="431">
        <v>5.58</v>
      </c>
      <c r="L807" s="431">
        <v>5.33</v>
      </c>
      <c r="M807" s="431">
        <v>5.26</v>
      </c>
      <c r="N807" s="431">
        <v>5.93</v>
      </c>
      <c r="O807" s="431">
        <v>6.31</v>
      </c>
      <c r="P807" s="431">
        <v>5.58</v>
      </c>
      <c r="Q807" s="179">
        <f t="shared" si="23"/>
        <v>6.1391666666666653</v>
      </c>
      <c r="R807" s="179" t="s">
        <v>993</v>
      </c>
    </row>
    <row r="808" spans="1:18" x14ac:dyDescent="0.15">
      <c r="A808" s="179" t="str">
        <f t="shared" si="22"/>
        <v>Guadalajara_Optimal Year Round_202.5</v>
      </c>
      <c r="B808" s="501" t="s">
        <v>866</v>
      </c>
      <c r="C808" s="429">
        <v>21</v>
      </c>
      <c r="D808" s="429">
        <v>202.5</v>
      </c>
      <c r="E808" s="431">
        <v>5.8</v>
      </c>
      <c r="F808" s="431">
        <v>6.49</v>
      </c>
      <c r="G808" s="431">
        <v>7.11</v>
      </c>
      <c r="H808" s="431">
        <v>6.85</v>
      </c>
      <c r="I808" s="431">
        <v>6.41</v>
      </c>
      <c r="J808" s="431">
        <v>6.03</v>
      </c>
      <c r="K808" s="431">
        <v>5.44</v>
      </c>
      <c r="L808" s="431">
        <v>5.2</v>
      </c>
      <c r="M808" s="431">
        <v>5.13</v>
      </c>
      <c r="N808" s="431">
        <v>5.78</v>
      </c>
      <c r="O808" s="431">
        <v>6.15</v>
      </c>
      <c r="P808" s="431">
        <v>5.44</v>
      </c>
      <c r="Q808" s="179">
        <f t="shared" si="23"/>
        <v>5.9858333333333329</v>
      </c>
      <c r="R808" s="179" t="s">
        <v>993</v>
      </c>
    </row>
    <row r="809" spans="1:18" x14ac:dyDescent="0.15">
      <c r="A809" s="179" t="str">
        <f t="shared" si="22"/>
        <v>Guadalajara_Optimal Year Round_225</v>
      </c>
      <c r="B809" s="501" t="s">
        <v>866</v>
      </c>
      <c r="C809" s="429">
        <v>21</v>
      </c>
      <c r="D809" s="429">
        <v>225</v>
      </c>
      <c r="E809" s="431">
        <v>5.65</v>
      </c>
      <c r="F809" s="431">
        <v>6.33</v>
      </c>
      <c r="G809" s="431">
        <v>6.93</v>
      </c>
      <c r="H809" s="431">
        <v>6.68</v>
      </c>
      <c r="I809" s="431">
        <v>6.24</v>
      </c>
      <c r="J809" s="431">
        <v>5.87</v>
      </c>
      <c r="K809" s="431">
        <v>5.3</v>
      </c>
      <c r="L809" s="431">
        <v>5.0599999999999996</v>
      </c>
      <c r="M809" s="431">
        <v>5</v>
      </c>
      <c r="N809" s="431">
        <v>5.63</v>
      </c>
      <c r="O809" s="431">
        <v>5.99</v>
      </c>
      <c r="P809" s="431">
        <v>5.3</v>
      </c>
      <c r="Q809" s="179">
        <f t="shared" si="23"/>
        <v>5.8316666666666661</v>
      </c>
      <c r="R809" s="179" t="s">
        <v>993</v>
      </c>
    </row>
    <row r="810" spans="1:18" x14ac:dyDescent="0.15">
      <c r="A810" s="179" t="str">
        <f t="shared" si="22"/>
        <v>Guadalajara_Optimal Year Round_247.5</v>
      </c>
      <c r="B810" s="501" t="s">
        <v>866</v>
      </c>
      <c r="C810" s="429">
        <v>21</v>
      </c>
      <c r="D810" s="429">
        <v>247.5</v>
      </c>
      <c r="E810" s="431">
        <v>5.21</v>
      </c>
      <c r="F810" s="431">
        <v>5.83</v>
      </c>
      <c r="G810" s="431">
        <v>6.38</v>
      </c>
      <c r="H810" s="431">
        <v>6.15</v>
      </c>
      <c r="I810" s="431">
        <v>5.75</v>
      </c>
      <c r="J810" s="431">
        <v>5.41</v>
      </c>
      <c r="K810" s="431">
        <v>4.88</v>
      </c>
      <c r="L810" s="431">
        <v>4.66</v>
      </c>
      <c r="M810" s="431">
        <v>4.5999999999999996</v>
      </c>
      <c r="N810" s="431">
        <v>5.19</v>
      </c>
      <c r="O810" s="431">
        <v>5.52</v>
      </c>
      <c r="P810" s="431">
        <v>4.88</v>
      </c>
      <c r="Q810" s="179">
        <f t="shared" si="23"/>
        <v>5.371666666666667</v>
      </c>
      <c r="R810" s="179" t="s">
        <v>993</v>
      </c>
    </row>
    <row r="811" spans="1:18" x14ac:dyDescent="0.15">
      <c r="A811" s="179" t="str">
        <f t="shared" si="22"/>
        <v>Guadalajara_Optimal Year Round_270</v>
      </c>
      <c r="B811" s="501" t="s">
        <v>866</v>
      </c>
      <c r="C811" s="429">
        <v>21</v>
      </c>
      <c r="D811" s="429">
        <v>270</v>
      </c>
      <c r="E811" s="431">
        <v>4.76</v>
      </c>
      <c r="F811" s="431">
        <v>5.33</v>
      </c>
      <c r="G811" s="431">
        <v>5.83</v>
      </c>
      <c r="H811" s="431">
        <v>5.62</v>
      </c>
      <c r="I811" s="431">
        <v>5.26</v>
      </c>
      <c r="J811" s="431">
        <v>4.9400000000000004</v>
      </c>
      <c r="K811" s="431">
        <v>4.46</v>
      </c>
      <c r="L811" s="431">
        <v>4.26</v>
      </c>
      <c r="M811" s="431">
        <v>4.21</v>
      </c>
      <c r="N811" s="431">
        <v>4.74</v>
      </c>
      <c r="O811" s="431">
        <v>5.05</v>
      </c>
      <c r="P811" s="431">
        <v>4.46</v>
      </c>
      <c r="Q811" s="179">
        <f t="shared" si="23"/>
        <v>4.9099999999999993</v>
      </c>
      <c r="R811" s="179" t="s">
        <v>993</v>
      </c>
    </row>
    <row r="812" spans="1:18" x14ac:dyDescent="0.15">
      <c r="A812" s="179" t="str">
        <f t="shared" si="22"/>
        <v>Guadalupe_Flat Surface_90</v>
      </c>
      <c r="B812" s="501" t="s">
        <v>1140</v>
      </c>
      <c r="C812" s="429">
        <v>0</v>
      </c>
      <c r="D812" s="429">
        <v>90</v>
      </c>
      <c r="E812" s="431">
        <v>3.72</v>
      </c>
      <c r="F812" s="431">
        <v>4.57</v>
      </c>
      <c r="G812" s="431">
        <v>5.66</v>
      </c>
      <c r="H812" s="431">
        <v>5.82</v>
      </c>
      <c r="I812" s="431">
        <v>6.24</v>
      </c>
      <c r="J812" s="431">
        <v>6.16</v>
      </c>
      <c r="K812" s="431">
        <v>6.03</v>
      </c>
      <c r="L812" s="431">
        <v>5.71</v>
      </c>
      <c r="M812" s="431">
        <v>4.9800000000000004</v>
      </c>
      <c r="N812" s="431">
        <v>4.62</v>
      </c>
      <c r="O812" s="431">
        <v>4.07</v>
      </c>
      <c r="P812" s="431">
        <v>3.55</v>
      </c>
      <c r="Q812" s="179">
        <f t="shared" si="23"/>
        <v>5.0941666666666663</v>
      </c>
      <c r="R812" s="179" t="s">
        <v>994</v>
      </c>
    </row>
    <row r="813" spans="1:18" x14ac:dyDescent="0.15">
      <c r="A813" s="179" t="str">
        <f t="shared" si="22"/>
        <v>Guadalupe_Flat Surface_112.5</v>
      </c>
      <c r="B813" s="501" t="s">
        <v>1140</v>
      </c>
      <c r="C813" s="429">
        <v>0</v>
      </c>
      <c r="D813" s="429">
        <v>112.5</v>
      </c>
      <c r="E813" s="431">
        <v>3.72</v>
      </c>
      <c r="F813" s="431">
        <v>4.57</v>
      </c>
      <c r="G813" s="431">
        <v>5.66</v>
      </c>
      <c r="H813" s="431">
        <v>5.82</v>
      </c>
      <c r="I813" s="431">
        <v>6.24</v>
      </c>
      <c r="J813" s="431">
        <v>6.16</v>
      </c>
      <c r="K813" s="431">
        <v>6.03</v>
      </c>
      <c r="L813" s="431">
        <v>5.71</v>
      </c>
      <c r="M813" s="431">
        <v>4.9800000000000004</v>
      </c>
      <c r="N813" s="431">
        <v>4.62</v>
      </c>
      <c r="O813" s="431">
        <v>4.07</v>
      </c>
      <c r="P813" s="431">
        <v>3.55</v>
      </c>
      <c r="Q813" s="179">
        <f t="shared" si="23"/>
        <v>5.0941666666666663</v>
      </c>
      <c r="R813" s="179" t="s">
        <v>994</v>
      </c>
    </row>
    <row r="814" spans="1:18" x14ac:dyDescent="0.15">
      <c r="A814" s="179" t="str">
        <f t="shared" si="22"/>
        <v>Guadalupe_Flat Surface_135</v>
      </c>
      <c r="B814" s="501" t="s">
        <v>1140</v>
      </c>
      <c r="C814" s="429">
        <v>0</v>
      </c>
      <c r="D814" s="429">
        <v>135</v>
      </c>
      <c r="E814" s="431">
        <v>3.72</v>
      </c>
      <c r="F814" s="431">
        <v>4.57</v>
      </c>
      <c r="G814" s="431">
        <v>5.66</v>
      </c>
      <c r="H814" s="431">
        <v>5.82</v>
      </c>
      <c r="I814" s="431">
        <v>6.24</v>
      </c>
      <c r="J814" s="431">
        <v>6.16</v>
      </c>
      <c r="K814" s="431">
        <v>6.03</v>
      </c>
      <c r="L814" s="431">
        <v>5.71</v>
      </c>
      <c r="M814" s="431">
        <v>4.9800000000000004</v>
      </c>
      <c r="N814" s="431">
        <v>4.62</v>
      </c>
      <c r="O814" s="431">
        <v>4.07</v>
      </c>
      <c r="P814" s="431">
        <v>3.55</v>
      </c>
      <c r="Q814" s="179">
        <f t="shared" si="23"/>
        <v>5.0941666666666663</v>
      </c>
      <c r="R814" s="179" t="s">
        <v>994</v>
      </c>
    </row>
    <row r="815" spans="1:18" x14ac:dyDescent="0.15">
      <c r="A815" s="179" t="str">
        <f t="shared" si="22"/>
        <v>Guadalupe_Flat Surface_157.5</v>
      </c>
      <c r="B815" s="501" t="s">
        <v>1140</v>
      </c>
      <c r="C815" s="429">
        <v>0</v>
      </c>
      <c r="D815" s="429">
        <v>157.5</v>
      </c>
      <c r="E815" s="431">
        <v>3.72</v>
      </c>
      <c r="F815" s="431">
        <v>4.57</v>
      </c>
      <c r="G815" s="431">
        <v>5.66</v>
      </c>
      <c r="H815" s="431">
        <v>5.82</v>
      </c>
      <c r="I815" s="431">
        <v>6.24</v>
      </c>
      <c r="J815" s="431">
        <v>6.16</v>
      </c>
      <c r="K815" s="431">
        <v>6.03</v>
      </c>
      <c r="L815" s="431">
        <v>5.71</v>
      </c>
      <c r="M815" s="431">
        <v>4.9800000000000004</v>
      </c>
      <c r="N815" s="431">
        <v>4.62</v>
      </c>
      <c r="O815" s="431">
        <v>4.07</v>
      </c>
      <c r="P815" s="431">
        <v>3.55</v>
      </c>
      <c r="Q815" s="179">
        <f t="shared" si="23"/>
        <v>5.0941666666666663</v>
      </c>
      <c r="R815" s="179" t="s">
        <v>994</v>
      </c>
    </row>
    <row r="816" spans="1:18" x14ac:dyDescent="0.15">
      <c r="A816" s="179" t="str">
        <f t="shared" si="22"/>
        <v>Guadalupe_Flat Surface_180</v>
      </c>
      <c r="B816" s="501" t="s">
        <v>1140</v>
      </c>
      <c r="C816" s="429">
        <v>0</v>
      </c>
      <c r="D816" s="429">
        <v>180</v>
      </c>
      <c r="E816" s="431">
        <v>3.72</v>
      </c>
      <c r="F816" s="431">
        <v>4.57</v>
      </c>
      <c r="G816" s="431">
        <v>5.66</v>
      </c>
      <c r="H816" s="431">
        <v>5.82</v>
      </c>
      <c r="I816" s="431">
        <v>6.24</v>
      </c>
      <c r="J816" s="431">
        <v>6.16</v>
      </c>
      <c r="K816" s="431">
        <v>6.03</v>
      </c>
      <c r="L816" s="431">
        <v>5.71</v>
      </c>
      <c r="M816" s="431">
        <v>4.9800000000000004</v>
      </c>
      <c r="N816" s="431">
        <v>4.62</v>
      </c>
      <c r="O816" s="431">
        <v>4.07</v>
      </c>
      <c r="P816" s="431">
        <v>3.55</v>
      </c>
      <c r="Q816" s="179">
        <f t="shared" si="23"/>
        <v>5.0941666666666663</v>
      </c>
      <c r="R816" s="179" t="s">
        <v>994</v>
      </c>
    </row>
    <row r="817" spans="1:18" x14ac:dyDescent="0.15">
      <c r="A817" s="179" t="str">
        <f t="shared" si="22"/>
        <v>Guadalupe_Flat Surface_202.5</v>
      </c>
      <c r="B817" s="501" t="s">
        <v>1140</v>
      </c>
      <c r="C817" s="429">
        <v>0</v>
      </c>
      <c r="D817" s="429">
        <v>202.5</v>
      </c>
      <c r="E817" s="431">
        <v>3.72</v>
      </c>
      <c r="F817" s="431">
        <v>4.57</v>
      </c>
      <c r="G817" s="431">
        <v>5.66</v>
      </c>
      <c r="H817" s="431">
        <v>5.82</v>
      </c>
      <c r="I817" s="431">
        <v>6.24</v>
      </c>
      <c r="J817" s="431">
        <v>6.16</v>
      </c>
      <c r="K817" s="431">
        <v>6.03</v>
      </c>
      <c r="L817" s="431">
        <v>5.71</v>
      </c>
      <c r="M817" s="431">
        <v>4.9800000000000004</v>
      </c>
      <c r="N817" s="431">
        <v>4.62</v>
      </c>
      <c r="O817" s="431">
        <v>4.07</v>
      </c>
      <c r="P817" s="431">
        <v>3.55</v>
      </c>
      <c r="Q817" s="179">
        <f t="shared" si="23"/>
        <v>5.0941666666666663</v>
      </c>
      <c r="R817" s="179" t="s">
        <v>994</v>
      </c>
    </row>
    <row r="818" spans="1:18" x14ac:dyDescent="0.15">
      <c r="A818" s="179" t="str">
        <f t="shared" si="22"/>
        <v>Guadalupe_Flat Surface_225</v>
      </c>
      <c r="B818" s="501" t="s">
        <v>1140</v>
      </c>
      <c r="C818" s="429">
        <v>0</v>
      </c>
      <c r="D818" s="429">
        <v>225</v>
      </c>
      <c r="E818" s="431">
        <v>3.72</v>
      </c>
      <c r="F818" s="431">
        <v>4.57</v>
      </c>
      <c r="G818" s="431">
        <v>5.66</v>
      </c>
      <c r="H818" s="431">
        <v>5.82</v>
      </c>
      <c r="I818" s="431">
        <v>6.24</v>
      </c>
      <c r="J818" s="431">
        <v>6.16</v>
      </c>
      <c r="K818" s="431">
        <v>6.03</v>
      </c>
      <c r="L818" s="431">
        <v>5.71</v>
      </c>
      <c r="M818" s="431">
        <v>4.9800000000000004</v>
      </c>
      <c r="N818" s="431">
        <v>4.62</v>
      </c>
      <c r="O818" s="431">
        <v>4.07</v>
      </c>
      <c r="P818" s="431">
        <v>3.55</v>
      </c>
      <c r="Q818" s="179">
        <f t="shared" si="23"/>
        <v>5.0941666666666663</v>
      </c>
      <c r="R818" s="179" t="s">
        <v>994</v>
      </c>
    </row>
    <row r="819" spans="1:18" x14ac:dyDescent="0.15">
      <c r="A819" s="179" t="str">
        <f t="shared" si="22"/>
        <v>Guadalupe_Flat Surface_247.5</v>
      </c>
      <c r="B819" s="501" t="s">
        <v>1140</v>
      </c>
      <c r="C819" s="429">
        <v>0</v>
      </c>
      <c r="D819" s="429">
        <v>247.5</v>
      </c>
      <c r="E819" s="431">
        <v>3.72</v>
      </c>
      <c r="F819" s="431">
        <v>4.57</v>
      </c>
      <c r="G819" s="431">
        <v>5.66</v>
      </c>
      <c r="H819" s="431">
        <v>5.82</v>
      </c>
      <c r="I819" s="431">
        <v>6.24</v>
      </c>
      <c r="J819" s="431">
        <v>6.16</v>
      </c>
      <c r="K819" s="431">
        <v>6.03</v>
      </c>
      <c r="L819" s="431">
        <v>5.71</v>
      </c>
      <c r="M819" s="431">
        <v>4.9800000000000004</v>
      </c>
      <c r="N819" s="431">
        <v>4.62</v>
      </c>
      <c r="O819" s="431">
        <v>4.07</v>
      </c>
      <c r="P819" s="431">
        <v>3.55</v>
      </c>
      <c r="Q819" s="179">
        <f t="shared" si="23"/>
        <v>5.0941666666666663</v>
      </c>
      <c r="R819" s="179" t="s">
        <v>994</v>
      </c>
    </row>
    <row r="820" spans="1:18" x14ac:dyDescent="0.15">
      <c r="A820" s="179" t="str">
        <f t="shared" si="22"/>
        <v>Guadalupe_Flat Surface_270</v>
      </c>
      <c r="B820" s="501" t="s">
        <v>1140</v>
      </c>
      <c r="C820" s="429">
        <v>0</v>
      </c>
      <c r="D820" s="429">
        <v>270</v>
      </c>
      <c r="E820" s="431">
        <v>3.72</v>
      </c>
      <c r="F820" s="431">
        <v>4.57</v>
      </c>
      <c r="G820" s="431">
        <v>5.66</v>
      </c>
      <c r="H820" s="431">
        <v>5.82</v>
      </c>
      <c r="I820" s="431">
        <v>6.24</v>
      </c>
      <c r="J820" s="431">
        <v>6.16</v>
      </c>
      <c r="K820" s="431">
        <v>6.03</v>
      </c>
      <c r="L820" s="431">
        <v>5.71</v>
      </c>
      <c r="M820" s="431">
        <v>4.9800000000000004</v>
      </c>
      <c r="N820" s="431">
        <v>4.62</v>
      </c>
      <c r="O820" s="431">
        <v>4.07</v>
      </c>
      <c r="P820" s="431">
        <v>3.55</v>
      </c>
      <c r="Q820" s="179">
        <f t="shared" si="23"/>
        <v>5.0941666666666663</v>
      </c>
      <c r="R820" s="179" t="s">
        <v>994</v>
      </c>
    </row>
    <row r="821" spans="1:18" x14ac:dyDescent="0.15">
      <c r="A821" s="179" t="str">
        <f t="shared" si="22"/>
        <v>Guadalupe_Optimal Summer_90</v>
      </c>
      <c r="B821" s="501" t="s">
        <v>1140</v>
      </c>
      <c r="C821" s="429">
        <v>11</v>
      </c>
      <c r="D821" s="429">
        <v>90</v>
      </c>
      <c r="E821" s="431">
        <v>3.39</v>
      </c>
      <c r="F821" s="431">
        <v>4.03</v>
      </c>
      <c r="G821" s="431">
        <v>4.79</v>
      </c>
      <c r="H821" s="431">
        <v>4.7300000000000004</v>
      </c>
      <c r="I821" s="431">
        <v>4.92</v>
      </c>
      <c r="J821" s="431">
        <v>4.8099999999999996</v>
      </c>
      <c r="K821" s="431">
        <v>4.7300000000000004</v>
      </c>
      <c r="L821" s="431">
        <v>4.57</v>
      </c>
      <c r="M821" s="431">
        <v>4.1100000000000003</v>
      </c>
      <c r="N821" s="431">
        <v>4</v>
      </c>
      <c r="O821" s="431">
        <v>3.69</v>
      </c>
      <c r="P821" s="431">
        <v>3.28</v>
      </c>
      <c r="Q821" s="179">
        <f t="shared" si="23"/>
        <v>4.2541666666666664</v>
      </c>
      <c r="R821" s="179" t="s">
        <v>958</v>
      </c>
    </row>
    <row r="822" spans="1:18" x14ac:dyDescent="0.15">
      <c r="A822" s="179" t="str">
        <f t="shared" si="22"/>
        <v>Guadalupe_Optimal Summer_112.5</v>
      </c>
      <c r="B822" s="501" t="s">
        <v>1140</v>
      </c>
      <c r="C822" s="429">
        <v>11</v>
      </c>
      <c r="D822" s="429">
        <v>112.5</v>
      </c>
      <c r="E822" s="431">
        <v>3.71</v>
      </c>
      <c r="F822" s="431">
        <v>4.41</v>
      </c>
      <c r="G822" s="431">
        <v>5.24</v>
      </c>
      <c r="H822" s="431">
        <v>5.17</v>
      </c>
      <c r="I822" s="431">
        <v>5.38</v>
      </c>
      <c r="J822" s="431">
        <v>5.26</v>
      </c>
      <c r="K822" s="431">
        <v>5.17</v>
      </c>
      <c r="L822" s="431">
        <v>5</v>
      </c>
      <c r="M822" s="431">
        <v>4.5</v>
      </c>
      <c r="N822" s="431">
        <v>4.38</v>
      </c>
      <c r="O822" s="431">
        <v>4.03</v>
      </c>
      <c r="P822" s="431">
        <v>3.59</v>
      </c>
      <c r="Q822" s="179">
        <f t="shared" si="23"/>
        <v>4.6533333333333333</v>
      </c>
      <c r="R822" s="179" t="s">
        <v>958</v>
      </c>
    </row>
    <row r="823" spans="1:18" x14ac:dyDescent="0.15">
      <c r="A823" s="179" t="str">
        <f t="shared" si="22"/>
        <v>Guadalupe_Optimal Summer_135</v>
      </c>
      <c r="B823" s="501" t="s">
        <v>1140</v>
      </c>
      <c r="C823" s="429">
        <v>11</v>
      </c>
      <c r="D823" s="429">
        <v>135</v>
      </c>
      <c r="E823" s="431">
        <v>4.03</v>
      </c>
      <c r="F823" s="431">
        <v>4.79</v>
      </c>
      <c r="G823" s="431">
        <v>5.69</v>
      </c>
      <c r="H823" s="431">
        <v>5.61</v>
      </c>
      <c r="I823" s="431">
        <v>5.84</v>
      </c>
      <c r="J823" s="431">
        <v>5.71</v>
      </c>
      <c r="K823" s="431">
        <v>5.61</v>
      </c>
      <c r="L823" s="431">
        <v>5.42</v>
      </c>
      <c r="M823" s="431">
        <v>4.88</v>
      </c>
      <c r="N823" s="431">
        <v>4.75</v>
      </c>
      <c r="O823" s="431">
        <v>4.38</v>
      </c>
      <c r="P823" s="431">
        <v>3.9</v>
      </c>
      <c r="Q823" s="179">
        <f t="shared" si="23"/>
        <v>5.0508333333333342</v>
      </c>
      <c r="R823" s="179" t="s">
        <v>958</v>
      </c>
    </row>
    <row r="824" spans="1:18" x14ac:dyDescent="0.15">
      <c r="A824" s="179" t="str">
        <f t="shared" si="22"/>
        <v>Guadalupe_Optimal Summer_157.5</v>
      </c>
      <c r="B824" s="501" t="s">
        <v>1140</v>
      </c>
      <c r="C824" s="429">
        <v>11</v>
      </c>
      <c r="D824" s="429">
        <v>157.5</v>
      </c>
      <c r="E824" s="431">
        <v>4.13</v>
      </c>
      <c r="F824" s="431">
        <v>4.91</v>
      </c>
      <c r="G824" s="431">
        <v>5.84</v>
      </c>
      <c r="H824" s="431">
        <v>5.76</v>
      </c>
      <c r="I824" s="431">
        <v>6</v>
      </c>
      <c r="J824" s="431">
        <v>5.86</v>
      </c>
      <c r="K824" s="431">
        <v>5.76</v>
      </c>
      <c r="L824" s="431">
        <v>5.57</v>
      </c>
      <c r="M824" s="431">
        <v>5.01</v>
      </c>
      <c r="N824" s="431">
        <v>4.88</v>
      </c>
      <c r="O824" s="431">
        <v>4.49</v>
      </c>
      <c r="P824" s="431">
        <v>4</v>
      </c>
      <c r="Q824" s="179">
        <f t="shared" si="23"/>
        <v>5.184166666666667</v>
      </c>
      <c r="R824" s="179" t="s">
        <v>958</v>
      </c>
    </row>
    <row r="825" spans="1:18" x14ac:dyDescent="0.15">
      <c r="A825" s="179" t="str">
        <f t="shared" si="22"/>
        <v>Guadalupe_Optimal Summer_180</v>
      </c>
      <c r="B825" s="501" t="s">
        <v>1140</v>
      </c>
      <c r="C825" s="429">
        <v>11</v>
      </c>
      <c r="D825" s="429">
        <v>180</v>
      </c>
      <c r="E825" s="431">
        <v>4.24</v>
      </c>
      <c r="F825" s="431">
        <v>5.04</v>
      </c>
      <c r="G825" s="431">
        <v>5.99</v>
      </c>
      <c r="H825" s="431">
        <v>5.91</v>
      </c>
      <c r="I825" s="431">
        <v>6.15</v>
      </c>
      <c r="J825" s="431">
        <v>6.01</v>
      </c>
      <c r="K825" s="431">
        <v>5.91</v>
      </c>
      <c r="L825" s="431">
        <v>5.71</v>
      </c>
      <c r="M825" s="431">
        <v>5.14</v>
      </c>
      <c r="N825" s="431">
        <v>5</v>
      </c>
      <c r="O825" s="431">
        <v>4.6100000000000003</v>
      </c>
      <c r="P825" s="431">
        <v>4.0999999999999996</v>
      </c>
      <c r="Q825" s="179">
        <f t="shared" si="23"/>
        <v>5.3174999999999999</v>
      </c>
      <c r="R825" s="179" t="s">
        <v>958</v>
      </c>
    </row>
    <row r="826" spans="1:18" x14ac:dyDescent="0.15">
      <c r="A826" s="179" t="str">
        <f t="shared" si="22"/>
        <v>Guadalupe_Optimal Summer_202.5</v>
      </c>
      <c r="B826" s="501" t="s">
        <v>1140</v>
      </c>
      <c r="C826" s="429">
        <v>11</v>
      </c>
      <c r="D826" s="429">
        <v>202.5</v>
      </c>
      <c r="E826" s="431">
        <v>4.13</v>
      </c>
      <c r="F826" s="431">
        <v>4.91</v>
      </c>
      <c r="G826" s="431">
        <v>5.84</v>
      </c>
      <c r="H826" s="431">
        <v>5.76</v>
      </c>
      <c r="I826" s="431">
        <v>6</v>
      </c>
      <c r="J826" s="431">
        <v>5.86</v>
      </c>
      <c r="K826" s="431">
        <v>5.76</v>
      </c>
      <c r="L826" s="431">
        <v>5.57</v>
      </c>
      <c r="M826" s="431">
        <v>5.01</v>
      </c>
      <c r="N826" s="431">
        <v>4.88</v>
      </c>
      <c r="O826" s="431">
        <v>4.49</v>
      </c>
      <c r="P826" s="431">
        <v>4</v>
      </c>
      <c r="Q826" s="179">
        <f t="shared" si="23"/>
        <v>5.184166666666667</v>
      </c>
      <c r="R826" s="179" t="s">
        <v>958</v>
      </c>
    </row>
    <row r="827" spans="1:18" x14ac:dyDescent="0.15">
      <c r="A827" s="179" t="str">
        <f t="shared" si="22"/>
        <v>Guadalupe_Optimal Summer_225</v>
      </c>
      <c r="B827" s="501" t="s">
        <v>1140</v>
      </c>
      <c r="C827" s="429">
        <v>11</v>
      </c>
      <c r="D827" s="429">
        <v>225</v>
      </c>
      <c r="E827" s="431">
        <v>4.03</v>
      </c>
      <c r="F827" s="431">
        <v>4.79</v>
      </c>
      <c r="G827" s="431">
        <v>5.69</v>
      </c>
      <c r="H827" s="431">
        <v>5.61</v>
      </c>
      <c r="I827" s="431">
        <v>5.84</v>
      </c>
      <c r="J827" s="431">
        <v>5.71</v>
      </c>
      <c r="K827" s="431">
        <v>5.61</v>
      </c>
      <c r="L827" s="431">
        <v>5.42</v>
      </c>
      <c r="M827" s="431">
        <v>4.88</v>
      </c>
      <c r="N827" s="431">
        <v>4.75</v>
      </c>
      <c r="O827" s="431">
        <v>4.38</v>
      </c>
      <c r="P827" s="431">
        <v>3.9</v>
      </c>
      <c r="Q827" s="179">
        <f t="shared" si="23"/>
        <v>5.0508333333333342</v>
      </c>
      <c r="R827" s="179" t="s">
        <v>958</v>
      </c>
    </row>
    <row r="828" spans="1:18" x14ac:dyDescent="0.15">
      <c r="A828" s="179" t="str">
        <f t="shared" si="22"/>
        <v>Guadalupe_Optimal Summer_247.5</v>
      </c>
      <c r="B828" s="501" t="s">
        <v>1140</v>
      </c>
      <c r="C828" s="429">
        <v>11</v>
      </c>
      <c r="D828" s="429">
        <v>247.5</v>
      </c>
      <c r="E828" s="431">
        <v>3.71</v>
      </c>
      <c r="F828" s="431">
        <v>4.41</v>
      </c>
      <c r="G828" s="431">
        <v>5.24</v>
      </c>
      <c r="H828" s="431">
        <v>5.17</v>
      </c>
      <c r="I828" s="431">
        <v>5.38</v>
      </c>
      <c r="J828" s="431">
        <v>5.26</v>
      </c>
      <c r="K828" s="431">
        <v>5.17</v>
      </c>
      <c r="L828" s="431">
        <v>5</v>
      </c>
      <c r="M828" s="431">
        <v>4.5</v>
      </c>
      <c r="N828" s="431">
        <v>4.38</v>
      </c>
      <c r="O828" s="431">
        <v>4.03</v>
      </c>
      <c r="P828" s="431">
        <v>3.59</v>
      </c>
      <c r="Q828" s="179">
        <f t="shared" si="23"/>
        <v>4.6533333333333333</v>
      </c>
      <c r="R828" s="179" t="s">
        <v>958</v>
      </c>
    </row>
    <row r="829" spans="1:18" x14ac:dyDescent="0.15">
      <c r="A829" s="179" t="str">
        <f t="shared" si="22"/>
        <v>Guadalupe_Optimal Summer_270</v>
      </c>
      <c r="B829" s="501" t="s">
        <v>1140</v>
      </c>
      <c r="C829" s="429">
        <v>11</v>
      </c>
      <c r="D829" s="429">
        <v>270</v>
      </c>
      <c r="E829" s="431">
        <v>3.39</v>
      </c>
      <c r="F829" s="431">
        <v>4.03</v>
      </c>
      <c r="G829" s="431">
        <v>4.79</v>
      </c>
      <c r="H829" s="431">
        <v>4.7300000000000004</v>
      </c>
      <c r="I829" s="431">
        <v>4.92</v>
      </c>
      <c r="J829" s="431">
        <v>4.8099999999999996</v>
      </c>
      <c r="K829" s="431">
        <v>4.7300000000000004</v>
      </c>
      <c r="L829" s="431">
        <v>4.57</v>
      </c>
      <c r="M829" s="431">
        <v>4.1100000000000003</v>
      </c>
      <c r="N829" s="431">
        <v>4</v>
      </c>
      <c r="O829" s="431">
        <v>3.69</v>
      </c>
      <c r="P829" s="431">
        <v>3.28</v>
      </c>
      <c r="Q829" s="179">
        <f t="shared" si="23"/>
        <v>4.2541666666666664</v>
      </c>
      <c r="R829" s="179" t="s">
        <v>958</v>
      </c>
    </row>
    <row r="830" spans="1:18" x14ac:dyDescent="0.15">
      <c r="A830" s="179" t="str">
        <f t="shared" si="22"/>
        <v>Guadalupe_Optimal Year Round_90</v>
      </c>
      <c r="B830" s="501" t="s">
        <v>1140</v>
      </c>
      <c r="C830" s="429">
        <v>26</v>
      </c>
      <c r="D830" s="429">
        <v>90</v>
      </c>
      <c r="E830" s="431">
        <v>3.86</v>
      </c>
      <c r="F830" s="431">
        <v>4.41</v>
      </c>
      <c r="G830" s="431">
        <v>4.9800000000000004</v>
      </c>
      <c r="H830" s="431">
        <v>4.6399999999999997</v>
      </c>
      <c r="I830" s="431">
        <v>4.62</v>
      </c>
      <c r="J830" s="431">
        <v>4.4400000000000004</v>
      </c>
      <c r="K830" s="431">
        <v>4.4000000000000004</v>
      </c>
      <c r="L830" s="431">
        <v>4.38</v>
      </c>
      <c r="M830" s="431">
        <v>4.1500000000000004</v>
      </c>
      <c r="N830" s="431">
        <v>4.2699999999999996</v>
      </c>
      <c r="O830" s="431">
        <v>4.16</v>
      </c>
      <c r="P830" s="431">
        <v>3.78</v>
      </c>
      <c r="Q830" s="179">
        <f t="shared" si="23"/>
        <v>4.3408333333333333</v>
      </c>
      <c r="R830" s="179" t="s">
        <v>993</v>
      </c>
    </row>
    <row r="831" spans="1:18" x14ac:dyDescent="0.15">
      <c r="A831" s="179" t="str">
        <f t="shared" si="22"/>
        <v>Guadalupe_Optimal Year Round_112.5</v>
      </c>
      <c r="B831" s="501" t="s">
        <v>1140</v>
      </c>
      <c r="C831" s="429">
        <v>26</v>
      </c>
      <c r="D831" s="429">
        <v>112.5</v>
      </c>
      <c r="E831" s="431">
        <v>4.22</v>
      </c>
      <c r="F831" s="431">
        <v>4.82</v>
      </c>
      <c r="G831" s="431">
        <v>5.44</v>
      </c>
      <c r="H831" s="431">
        <v>5.08</v>
      </c>
      <c r="I831" s="431">
        <v>5.05</v>
      </c>
      <c r="J831" s="431">
        <v>4.8600000000000003</v>
      </c>
      <c r="K831" s="431">
        <v>4.8099999999999996</v>
      </c>
      <c r="L831" s="431">
        <v>4.8</v>
      </c>
      <c r="M831" s="431">
        <v>4.54</v>
      </c>
      <c r="N831" s="431">
        <v>4.67</v>
      </c>
      <c r="O831" s="431">
        <v>4.55</v>
      </c>
      <c r="P831" s="431">
        <v>4.1399999999999997</v>
      </c>
      <c r="Q831" s="179">
        <f t="shared" si="23"/>
        <v>4.7483333333333331</v>
      </c>
      <c r="R831" s="179" t="s">
        <v>993</v>
      </c>
    </row>
    <row r="832" spans="1:18" x14ac:dyDescent="0.15">
      <c r="A832" s="179" t="str">
        <f t="shared" si="22"/>
        <v>Guadalupe_Optimal Year Round_135</v>
      </c>
      <c r="B832" s="501" t="s">
        <v>1140</v>
      </c>
      <c r="C832" s="429">
        <v>26</v>
      </c>
      <c r="D832" s="429">
        <v>135</v>
      </c>
      <c r="E832" s="431">
        <v>4.58</v>
      </c>
      <c r="F832" s="431">
        <v>5.23</v>
      </c>
      <c r="G832" s="431">
        <v>5.91</v>
      </c>
      <c r="H832" s="431">
        <v>5.51</v>
      </c>
      <c r="I832" s="431">
        <v>5.48</v>
      </c>
      <c r="J832" s="431">
        <v>5.27</v>
      </c>
      <c r="K832" s="431">
        <v>5.22</v>
      </c>
      <c r="L832" s="431">
        <v>5.21</v>
      </c>
      <c r="M832" s="431">
        <v>4.93</v>
      </c>
      <c r="N832" s="431">
        <v>5.07</v>
      </c>
      <c r="O832" s="431">
        <v>4.9400000000000004</v>
      </c>
      <c r="P832" s="431">
        <v>4.49</v>
      </c>
      <c r="Q832" s="179">
        <f t="shared" si="23"/>
        <v>5.1533333333333333</v>
      </c>
      <c r="R832" s="179" t="s">
        <v>993</v>
      </c>
    </row>
    <row r="833" spans="1:18" x14ac:dyDescent="0.15">
      <c r="A833" s="179" t="str">
        <f t="shared" si="22"/>
        <v>Guadalupe_Optimal Year Round_157.5</v>
      </c>
      <c r="B833" s="501" t="s">
        <v>1140</v>
      </c>
      <c r="C833" s="429">
        <v>26</v>
      </c>
      <c r="D833" s="429">
        <v>157.5</v>
      </c>
      <c r="E833" s="431">
        <v>4.7</v>
      </c>
      <c r="F833" s="431">
        <v>5.37</v>
      </c>
      <c r="G833" s="431">
        <v>6.06</v>
      </c>
      <c r="H833" s="431">
        <v>5.66</v>
      </c>
      <c r="I833" s="431">
        <v>5.63</v>
      </c>
      <c r="J833" s="431">
        <v>5.41</v>
      </c>
      <c r="K833" s="431">
        <v>5.36</v>
      </c>
      <c r="L833" s="431">
        <v>5.34</v>
      </c>
      <c r="M833" s="431">
        <v>5.0599999999999996</v>
      </c>
      <c r="N833" s="431">
        <v>5.21</v>
      </c>
      <c r="O833" s="431">
        <v>5.07</v>
      </c>
      <c r="P833" s="431">
        <v>4.6100000000000003</v>
      </c>
      <c r="Q833" s="179">
        <f t="shared" si="23"/>
        <v>5.29</v>
      </c>
      <c r="R833" s="179" t="s">
        <v>993</v>
      </c>
    </row>
    <row r="834" spans="1:18" x14ac:dyDescent="0.15">
      <c r="A834" s="179" t="str">
        <f t="shared" ref="A834:A897" si="24">B834&amp;"_"&amp;R834&amp;"_"&amp;D834</f>
        <v>Guadalupe_Optimal Year Round_180</v>
      </c>
      <c r="B834" s="501" t="s">
        <v>1140</v>
      </c>
      <c r="C834" s="429">
        <v>26</v>
      </c>
      <c r="D834" s="429">
        <v>180</v>
      </c>
      <c r="E834" s="431">
        <v>4.82</v>
      </c>
      <c r="F834" s="431">
        <v>5.51</v>
      </c>
      <c r="G834" s="431">
        <v>6.22</v>
      </c>
      <c r="H834" s="431">
        <v>5.8</v>
      </c>
      <c r="I834" s="431">
        <v>5.77</v>
      </c>
      <c r="J834" s="431">
        <v>5.55</v>
      </c>
      <c r="K834" s="431">
        <v>5.5</v>
      </c>
      <c r="L834" s="431">
        <v>5.48</v>
      </c>
      <c r="M834" s="431">
        <v>5.19</v>
      </c>
      <c r="N834" s="431">
        <v>5.34</v>
      </c>
      <c r="O834" s="431">
        <v>5.2</v>
      </c>
      <c r="P834" s="431">
        <v>4.7300000000000004</v>
      </c>
      <c r="Q834" s="179">
        <f t="shared" ref="Q834:Q897" si="25">AVERAGE(E834:P834)</f>
        <v>5.4258333333333342</v>
      </c>
      <c r="R834" s="179" t="s">
        <v>993</v>
      </c>
    </row>
    <row r="835" spans="1:18" x14ac:dyDescent="0.15">
      <c r="A835" s="179" t="str">
        <f t="shared" si="24"/>
        <v>Guadalupe_Optimal Year Round_202.5</v>
      </c>
      <c r="B835" s="501" t="s">
        <v>1140</v>
      </c>
      <c r="C835" s="429">
        <v>26</v>
      </c>
      <c r="D835" s="429">
        <v>202.5</v>
      </c>
      <c r="E835" s="431">
        <v>4.7</v>
      </c>
      <c r="F835" s="431">
        <v>5.37</v>
      </c>
      <c r="G835" s="431">
        <v>6.06</v>
      </c>
      <c r="H835" s="431">
        <v>5.66</v>
      </c>
      <c r="I835" s="431">
        <v>5.63</v>
      </c>
      <c r="J835" s="431">
        <v>5.41</v>
      </c>
      <c r="K835" s="431">
        <v>5.36</v>
      </c>
      <c r="L835" s="431">
        <v>5.34</v>
      </c>
      <c r="M835" s="431">
        <v>5.0599999999999996</v>
      </c>
      <c r="N835" s="431">
        <v>5.21</v>
      </c>
      <c r="O835" s="431">
        <v>5.07</v>
      </c>
      <c r="P835" s="431">
        <v>4.6100000000000003</v>
      </c>
      <c r="Q835" s="179">
        <f t="shared" si="25"/>
        <v>5.29</v>
      </c>
      <c r="R835" s="179" t="s">
        <v>993</v>
      </c>
    </row>
    <row r="836" spans="1:18" x14ac:dyDescent="0.15">
      <c r="A836" s="179" t="str">
        <f t="shared" si="24"/>
        <v>Guadalupe_Optimal Year Round_225</v>
      </c>
      <c r="B836" s="501" t="s">
        <v>1140</v>
      </c>
      <c r="C836" s="429">
        <v>26</v>
      </c>
      <c r="D836" s="429">
        <v>225</v>
      </c>
      <c r="E836" s="431">
        <v>4.58</v>
      </c>
      <c r="F836" s="431">
        <v>5.23</v>
      </c>
      <c r="G836" s="431">
        <v>5.91</v>
      </c>
      <c r="H836" s="431">
        <v>5.51</v>
      </c>
      <c r="I836" s="431">
        <v>5.48</v>
      </c>
      <c r="J836" s="431">
        <v>5.27</v>
      </c>
      <c r="K836" s="431">
        <v>5.22</v>
      </c>
      <c r="L836" s="431">
        <v>5.21</v>
      </c>
      <c r="M836" s="431">
        <v>4.93</v>
      </c>
      <c r="N836" s="431">
        <v>5.07</v>
      </c>
      <c r="O836" s="431">
        <v>4.9400000000000004</v>
      </c>
      <c r="P836" s="431">
        <v>4.49</v>
      </c>
      <c r="Q836" s="179">
        <f t="shared" si="25"/>
        <v>5.1533333333333333</v>
      </c>
      <c r="R836" s="179" t="s">
        <v>993</v>
      </c>
    </row>
    <row r="837" spans="1:18" x14ac:dyDescent="0.15">
      <c r="A837" s="179" t="str">
        <f t="shared" si="24"/>
        <v>Guadalupe_Optimal Year Round_247.5</v>
      </c>
      <c r="B837" s="501" t="s">
        <v>1140</v>
      </c>
      <c r="C837" s="429">
        <v>26</v>
      </c>
      <c r="D837" s="429">
        <v>247.5</v>
      </c>
      <c r="E837" s="431">
        <v>4.22</v>
      </c>
      <c r="F837" s="431">
        <v>4.82</v>
      </c>
      <c r="G837" s="431">
        <v>5.44</v>
      </c>
      <c r="H837" s="431">
        <v>5.08</v>
      </c>
      <c r="I837" s="431">
        <v>5.05</v>
      </c>
      <c r="J837" s="431">
        <v>4.8600000000000003</v>
      </c>
      <c r="K837" s="431">
        <v>4.8099999999999996</v>
      </c>
      <c r="L837" s="431">
        <v>4.8</v>
      </c>
      <c r="M837" s="431">
        <v>4.54</v>
      </c>
      <c r="N837" s="431">
        <v>4.67</v>
      </c>
      <c r="O837" s="431">
        <v>4.55</v>
      </c>
      <c r="P837" s="431">
        <v>4.1399999999999997</v>
      </c>
      <c r="Q837" s="179">
        <f t="shared" si="25"/>
        <v>4.7483333333333331</v>
      </c>
      <c r="R837" s="179" t="s">
        <v>993</v>
      </c>
    </row>
    <row r="838" spans="1:18" x14ac:dyDescent="0.15">
      <c r="A838" s="179" t="str">
        <f t="shared" si="24"/>
        <v>Guadalupe_Optimal Year Round_270</v>
      </c>
      <c r="B838" s="501" t="s">
        <v>1140</v>
      </c>
      <c r="C838" s="429">
        <v>26</v>
      </c>
      <c r="D838" s="429">
        <v>270</v>
      </c>
      <c r="E838" s="431">
        <v>3.86</v>
      </c>
      <c r="F838" s="431">
        <v>4.41</v>
      </c>
      <c r="G838" s="431">
        <v>4.9800000000000004</v>
      </c>
      <c r="H838" s="431">
        <v>4.6399999999999997</v>
      </c>
      <c r="I838" s="431">
        <v>4.62</v>
      </c>
      <c r="J838" s="431">
        <v>4.4400000000000004</v>
      </c>
      <c r="K838" s="431">
        <v>4.4000000000000004</v>
      </c>
      <c r="L838" s="431">
        <v>4.38</v>
      </c>
      <c r="M838" s="431">
        <v>4.1500000000000004</v>
      </c>
      <c r="N838" s="431">
        <v>4.2699999999999996</v>
      </c>
      <c r="O838" s="431">
        <v>4.16</v>
      </c>
      <c r="P838" s="431">
        <v>3.78</v>
      </c>
      <c r="Q838" s="179">
        <f t="shared" si="25"/>
        <v>4.3408333333333333</v>
      </c>
      <c r="R838" s="179" t="s">
        <v>993</v>
      </c>
    </row>
    <row r="839" spans="1:18" x14ac:dyDescent="0.15">
      <c r="A839" s="179" t="str">
        <f t="shared" si="24"/>
        <v>Gustavo A. Madero_Flat Surface_90</v>
      </c>
      <c r="B839" s="501" t="s">
        <v>1141</v>
      </c>
      <c r="C839" s="429">
        <v>0</v>
      </c>
      <c r="D839" s="429">
        <v>90</v>
      </c>
      <c r="E839" s="431">
        <v>4.74</v>
      </c>
      <c r="F839" s="431">
        <v>5.68</v>
      </c>
      <c r="G839" s="431">
        <v>6.47</v>
      </c>
      <c r="H839" s="431">
        <v>6.38</v>
      </c>
      <c r="I839" s="431">
        <v>6.21</v>
      </c>
      <c r="J839" s="431">
        <v>5.57</v>
      </c>
      <c r="K839" s="431">
        <v>5.48</v>
      </c>
      <c r="L839" s="431">
        <v>5.31</v>
      </c>
      <c r="M839" s="431">
        <v>4.88</v>
      </c>
      <c r="N839" s="431">
        <v>4.87</v>
      </c>
      <c r="O839" s="431">
        <v>4.7699999999999996</v>
      </c>
      <c r="P839" s="431">
        <v>4.34</v>
      </c>
      <c r="Q839" s="179">
        <f t="shared" si="25"/>
        <v>5.3916666666666666</v>
      </c>
      <c r="R839" s="179" t="s">
        <v>994</v>
      </c>
    </row>
    <row r="840" spans="1:18" x14ac:dyDescent="0.15">
      <c r="A840" s="179" t="str">
        <f t="shared" si="24"/>
        <v>Gustavo A. Madero_Flat Surface_112.5</v>
      </c>
      <c r="B840" s="501" t="s">
        <v>1141</v>
      </c>
      <c r="C840" s="429">
        <v>0</v>
      </c>
      <c r="D840" s="429">
        <v>112.5</v>
      </c>
      <c r="E840" s="431">
        <v>4.74</v>
      </c>
      <c r="F840" s="431">
        <v>5.68</v>
      </c>
      <c r="G840" s="431">
        <v>6.47</v>
      </c>
      <c r="H840" s="431">
        <v>6.38</v>
      </c>
      <c r="I840" s="431">
        <v>6.21</v>
      </c>
      <c r="J840" s="431">
        <v>5.57</v>
      </c>
      <c r="K840" s="431">
        <v>5.48</v>
      </c>
      <c r="L840" s="431">
        <v>5.31</v>
      </c>
      <c r="M840" s="431">
        <v>4.88</v>
      </c>
      <c r="N840" s="431">
        <v>4.87</v>
      </c>
      <c r="O840" s="431">
        <v>4.7699999999999996</v>
      </c>
      <c r="P840" s="431">
        <v>4.34</v>
      </c>
      <c r="Q840" s="179">
        <f t="shared" si="25"/>
        <v>5.3916666666666666</v>
      </c>
      <c r="R840" s="179" t="s">
        <v>994</v>
      </c>
    </row>
    <row r="841" spans="1:18" x14ac:dyDescent="0.15">
      <c r="A841" s="179" t="str">
        <f t="shared" si="24"/>
        <v>Gustavo A. Madero_Flat Surface_135</v>
      </c>
      <c r="B841" s="501" t="s">
        <v>1141</v>
      </c>
      <c r="C841" s="429">
        <v>0</v>
      </c>
      <c r="D841" s="429">
        <v>135</v>
      </c>
      <c r="E841" s="431">
        <v>4.74</v>
      </c>
      <c r="F841" s="431">
        <v>5.68</v>
      </c>
      <c r="G841" s="431">
        <v>6.47</v>
      </c>
      <c r="H841" s="431">
        <v>6.38</v>
      </c>
      <c r="I841" s="431">
        <v>6.21</v>
      </c>
      <c r="J841" s="431">
        <v>5.57</v>
      </c>
      <c r="K841" s="431">
        <v>5.48</v>
      </c>
      <c r="L841" s="431">
        <v>5.31</v>
      </c>
      <c r="M841" s="431">
        <v>4.88</v>
      </c>
      <c r="N841" s="431">
        <v>4.87</v>
      </c>
      <c r="O841" s="431">
        <v>4.7699999999999996</v>
      </c>
      <c r="P841" s="431">
        <v>4.34</v>
      </c>
      <c r="Q841" s="179">
        <f t="shared" si="25"/>
        <v>5.3916666666666666</v>
      </c>
      <c r="R841" s="179" t="s">
        <v>994</v>
      </c>
    </row>
    <row r="842" spans="1:18" x14ac:dyDescent="0.15">
      <c r="A842" s="179" t="str">
        <f t="shared" si="24"/>
        <v>Gustavo A. Madero_Flat Surface_157.5</v>
      </c>
      <c r="B842" s="501" t="s">
        <v>1141</v>
      </c>
      <c r="C842" s="429">
        <v>0</v>
      </c>
      <c r="D842" s="429">
        <v>157.5</v>
      </c>
      <c r="E842" s="431">
        <v>4.74</v>
      </c>
      <c r="F842" s="431">
        <v>5.68</v>
      </c>
      <c r="G842" s="431">
        <v>6.47</v>
      </c>
      <c r="H842" s="431">
        <v>6.38</v>
      </c>
      <c r="I842" s="431">
        <v>6.21</v>
      </c>
      <c r="J842" s="431">
        <v>5.57</v>
      </c>
      <c r="K842" s="431">
        <v>5.48</v>
      </c>
      <c r="L842" s="431">
        <v>5.31</v>
      </c>
      <c r="M842" s="431">
        <v>4.88</v>
      </c>
      <c r="N842" s="431">
        <v>4.87</v>
      </c>
      <c r="O842" s="431">
        <v>4.7699999999999996</v>
      </c>
      <c r="P842" s="431">
        <v>4.34</v>
      </c>
      <c r="Q842" s="179">
        <f t="shared" si="25"/>
        <v>5.3916666666666666</v>
      </c>
      <c r="R842" s="179" t="s">
        <v>994</v>
      </c>
    </row>
    <row r="843" spans="1:18" x14ac:dyDescent="0.15">
      <c r="A843" s="179" t="str">
        <f t="shared" si="24"/>
        <v>Gustavo A. Madero_Flat Surface_180</v>
      </c>
      <c r="B843" s="501" t="s">
        <v>1141</v>
      </c>
      <c r="C843" s="429">
        <v>0</v>
      </c>
      <c r="D843" s="429">
        <v>180</v>
      </c>
      <c r="E843" s="431">
        <v>4.74</v>
      </c>
      <c r="F843" s="431">
        <v>5.68</v>
      </c>
      <c r="G843" s="431">
        <v>6.47</v>
      </c>
      <c r="H843" s="431">
        <v>6.38</v>
      </c>
      <c r="I843" s="431">
        <v>6.21</v>
      </c>
      <c r="J843" s="431">
        <v>5.57</v>
      </c>
      <c r="K843" s="431">
        <v>5.48</v>
      </c>
      <c r="L843" s="431">
        <v>5.31</v>
      </c>
      <c r="M843" s="431">
        <v>4.88</v>
      </c>
      <c r="N843" s="431">
        <v>4.87</v>
      </c>
      <c r="O843" s="431">
        <v>4.7699999999999996</v>
      </c>
      <c r="P843" s="431">
        <v>4.34</v>
      </c>
      <c r="Q843" s="179">
        <f t="shared" si="25"/>
        <v>5.3916666666666666</v>
      </c>
      <c r="R843" s="179" t="s">
        <v>994</v>
      </c>
    </row>
    <row r="844" spans="1:18" x14ac:dyDescent="0.15">
      <c r="A844" s="179" t="str">
        <f t="shared" si="24"/>
        <v>Gustavo A. Madero_Flat Surface_202.5</v>
      </c>
      <c r="B844" s="501" t="s">
        <v>1141</v>
      </c>
      <c r="C844" s="429">
        <v>0</v>
      </c>
      <c r="D844" s="429">
        <v>202.5</v>
      </c>
      <c r="E844" s="431">
        <v>4.74</v>
      </c>
      <c r="F844" s="431">
        <v>5.68</v>
      </c>
      <c r="G844" s="431">
        <v>6.47</v>
      </c>
      <c r="H844" s="431">
        <v>6.38</v>
      </c>
      <c r="I844" s="431">
        <v>6.21</v>
      </c>
      <c r="J844" s="431">
        <v>5.57</v>
      </c>
      <c r="K844" s="431">
        <v>5.48</v>
      </c>
      <c r="L844" s="431">
        <v>5.31</v>
      </c>
      <c r="M844" s="431">
        <v>4.88</v>
      </c>
      <c r="N844" s="431">
        <v>4.87</v>
      </c>
      <c r="O844" s="431">
        <v>4.7699999999999996</v>
      </c>
      <c r="P844" s="431">
        <v>4.34</v>
      </c>
      <c r="Q844" s="179">
        <f t="shared" si="25"/>
        <v>5.3916666666666666</v>
      </c>
      <c r="R844" s="179" t="s">
        <v>994</v>
      </c>
    </row>
    <row r="845" spans="1:18" x14ac:dyDescent="0.15">
      <c r="A845" s="179" t="str">
        <f t="shared" si="24"/>
        <v>Gustavo A. Madero_Flat Surface_225</v>
      </c>
      <c r="B845" s="501" t="s">
        <v>1141</v>
      </c>
      <c r="C845" s="429">
        <v>0</v>
      </c>
      <c r="D845" s="429">
        <v>225</v>
      </c>
      <c r="E845" s="431">
        <v>4.74</v>
      </c>
      <c r="F845" s="431">
        <v>5.68</v>
      </c>
      <c r="G845" s="431">
        <v>6.47</v>
      </c>
      <c r="H845" s="431">
        <v>6.38</v>
      </c>
      <c r="I845" s="431">
        <v>6.21</v>
      </c>
      <c r="J845" s="431">
        <v>5.57</v>
      </c>
      <c r="K845" s="431">
        <v>5.48</v>
      </c>
      <c r="L845" s="431">
        <v>5.31</v>
      </c>
      <c r="M845" s="431">
        <v>4.88</v>
      </c>
      <c r="N845" s="431">
        <v>4.87</v>
      </c>
      <c r="O845" s="431">
        <v>4.7699999999999996</v>
      </c>
      <c r="P845" s="431">
        <v>4.34</v>
      </c>
      <c r="Q845" s="179">
        <f t="shared" si="25"/>
        <v>5.3916666666666666</v>
      </c>
      <c r="R845" s="179" t="s">
        <v>994</v>
      </c>
    </row>
    <row r="846" spans="1:18" x14ac:dyDescent="0.15">
      <c r="A846" s="179" t="str">
        <f t="shared" si="24"/>
        <v>Gustavo A. Madero_Flat Surface_247.5</v>
      </c>
      <c r="B846" s="501" t="s">
        <v>1141</v>
      </c>
      <c r="C846" s="429">
        <v>0</v>
      </c>
      <c r="D846" s="429">
        <v>247.5</v>
      </c>
      <c r="E846" s="431">
        <v>4.74</v>
      </c>
      <c r="F846" s="431">
        <v>5.68</v>
      </c>
      <c r="G846" s="431">
        <v>6.47</v>
      </c>
      <c r="H846" s="431">
        <v>6.38</v>
      </c>
      <c r="I846" s="431">
        <v>6.21</v>
      </c>
      <c r="J846" s="431">
        <v>5.57</v>
      </c>
      <c r="K846" s="431">
        <v>5.48</v>
      </c>
      <c r="L846" s="431">
        <v>5.31</v>
      </c>
      <c r="M846" s="431">
        <v>4.88</v>
      </c>
      <c r="N846" s="431">
        <v>4.87</v>
      </c>
      <c r="O846" s="431">
        <v>4.7699999999999996</v>
      </c>
      <c r="P846" s="431">
        <v>4.34</v>
      </c>
      <c r="Q846" s="179">
        <f t="shared" si="25"/>
        <v>5.3916666666666666</v>
      </c>
      <c r="R846" s="179" t="s">
        <v>994</v>
      </c>
    </row>
    <row r="847" spans="1:18" x14ac:dyDescent="0.15">
      <c r="A847" s="179" t="str">
        <f t="shared" si="24"/>
        <v>Gustavo A. Madero_Flat Surface_270</v>
      </c>
      <c r="B847" s="501" t="s">
        <v>1141</v>
      </c>
      <c r="C847" s="429">
        <v>0</v>
      </c>
      <c r="D847" s="429">
        <v>270</v>
      </c>
      <c r="E847" s="431">
        <v>4.74</v>
      </c>
      <c r="F847" s="431">
        <v>5.68</v>
      </c>
      <c r="G847" s="431">
        <v>6.47</v>
      </c>
      <c r="H847" s="431">
        <v>6.38</v>
      </c>
      <c r="I847" s="431">
        <v>6.21</v>
      </c>
      <c r="J847" s="431">
        <v>5.57</v>
      </c>
      <c r="K847" s="431">
        <v>5.48</v>
      </c>
      <c r="L847" s="431">
        <v>5.31</v>
      </c>
      <c r="M847" s="431">
        <v>4.88</v>
      </c>
      <c r="N847" s="431">
        <v>4.87</v>
      </c>
      <c r="O847" s="431">
        <v>4.7699999999999996</v>
      </c>
      <c r="P847" s="431">
        <v>4.34</v>
      </c>
      <c r="Q847" s="179">
        <f t="shared" si="25"/>
        <v>5.3916666666666666</v>
      </c>
      <c r="R847" s="179" t="s">
        <v>994</v>
      </c>
    </row>
    <row r="848" spans="1:18" x14ac:dyDescent="0.15">
      <c r="A848" s="179" t="str">
        <f t="shared" si="24"/>
        <v>Gustavo A. Madero_Optimal Summer_90</v>
      </c>
      <c r="B848" s="501" t="s">
        <v>1141</v>
      </c>
      <c r="C848" s="429">
        <v>5</v>
      </c>
      <c r="D848" s="429">
        <v>90</v>
      </c>
      <c r="E848" s="431">
        <v>4</v>
      </c>
      <c r="F848" s="431">
        <v>4.72</v>
      </c>
      <c r="G848" s="431">
        <v>5.29</v>
      </c>
      <c r="H848" s="431">
        <v>5.13</v>
      </c>
      <c r="I848" s="431">
        <v>4.93</v>
      </c>
      <c r="J848" s="431">
        <v>4.49</v>
      </c>
      <c r="K848" s="431">
        <v>4.41</v>
      </c>
      <c r="L848" s="431">
        <v>4.25</v>
      </c>
      <c r="M848" s="431">
        <v>3.94</v>
      </c>
      <c r="N848" s="431">
        <v>4</v>
      </c>
      <c r="O848" s="431">
        <v>4</v>
      </c>
      <c r="P848" s="431">
        <v>3.66</v>
      </c>
      <c r="Q848" s="179">
        <f t="shared" si="25"/>
        <v>4.4016666666666664</v>
      </c>
      <c r="R848" s="179" t="s">
        <v>958</v>
      </c>
    </row>
    <row r="849" spans="1:18" x14ac:dyDescent="0.15">
      <c r="A849" s="179" t="str">
        <f t="shared" si="24"/>
        <v>Gustavo A. Madero_Optimal Summer_112.5</v>
      </c>
      <c r="B849" s="501" t="s">
        <v>1141</v>
      </c>
      <c r="C849" s="429">
        <v>5</v>
      </c>
      <c r="D849" s="429">
        <v>112.5</v>
      </c>
      <c r="E849" s="431">
        <v>4.38</v>
      </c>
      <c r="F849" s="431">
        <v>5.16</v>
      </c>
      <c r="G849" s="431">
        <v>5.78</v>
      </c>
      <c r="H849" s="431">
        <v>5.61</v>
      </c>
      <c r="I849" s="431">
        <v>5.39</v>
      </c>
      <c r="J849" s="431">
        <v>4.91</v>
      </c>
      <c r="K849" s="431">
        <v>4.82</v>
      </c>
      <c r="L849" s="431">
        <v>4.6500000000000004</v>
      </c>
      <c r="M849" s="431">
        <v>4.3099999999999996</v>
      </c>
      <c r="N849" s="431">
        <v>4.38</v>
      </c>
      <c r="O849" s="431">
        <v>4.38</v>
      </c>
      <c r="P849" s="431">
        <v>4</v>
      </c>
      <c r="Q849" s="179">
        <f t="shared" si="25"/>
        <v>4.8141666666666669</v>
      </c>
      <c r="R849" s="179" t="s">
        <v>958</v>
      </c>
    </row>
    <row r="850" spans="1:18" x14ac:dyDescent="0.15">
      <c r="A850" s="179" t="str">
        <f t="shared" si="24"/>
        <v>Gustavo A. Madero_Optimal Summer_135</v>
      </c>
      <c r="B850" s="501" t="s">
        <v>1141</v>
      </c>
      <c r="C850" s="429">
        <v>5</v>
      </c>
      <c r="D850" s="429">
        <v>135</v>
      </c>
      <c r="E850" s="431">
        <v>4.75</v>
      </c>
      <c r="F850" s="431">
        <v>5.6</v>
      </c>
      <c r="G850" s="431">
        <v>6.28</v>
      </c>
      <c r="H850" s="431">
        <v>6.09</v>
      </c>
      <c r="I850" s="431">
        <v>5.85</v>
      </c>
      <c r="J850" s="431">
        <v>5.33</v>
      </c>
      <c r="K850" s="431">
        <v>5.23</v>
      </c>
      <c r="L850" s="431">
        <v>5.04</v>
      </c>
      <c r="M850" s="431">
        <v>4.68</v>
      </c>
      <c r="N850" s="431">
        <v>4.75</v>
      </c>
      <c r="O850" s="431">
        <v>4.75</v>
      </c>
      <c r="P850" s="431">
        <v>4.34</v>
      </c>
      <c r="Q850" s="179">
        <f t="shared" si="25"/>
        <v>5.2241666666666662</v>
      </c>
      <c r="R850" s="179" t="s">
        <v>958</v>
      </c>
    </row>
    <row r="851" spans="1:18" x14ac:dyDescent="0.15">
      <c r="A851" s="179" t="str">
        <f t="shared" si="24"/>
        <v>Gustavo A. Madero_Optimal Summer_157.5</v>
      </c>
      <c r="B851" s="501" t="s">
        <v>1141</v>
      </c>
      <c r="C851" s="429">
        <v>5</v>
      </c>
      <c r="D851" s="429">
        <v>157.5</v>
      </c>
      <c r="E851" s="431">
        <v>4.88</v>
      </c>
      <c r="F851" s="431">
        <v>5.75</v>
      </c>
      <c r="G851" s="431">
        <v>6.44</v>
      </c>
      <c r="H851" s="431">
        <v>6.25</v>
      </c>
      <c r="I851" s="431">
        <v>6.01</v>
      </c>
      <c r="J851" s="431">
        <v>5.47</v>
      </c>
      <c r="K851" s="431">
        <v>5.37</v>
      </c>
      <c r="L851" s="431">
        <v>5.18</v>
      </c>
      <c r="M851" s="431">
        <v>4.8099999999999996</v>
      </c>
      <c r="N851" s="431">
        <v>4.88</v>
      </c>
      <c r="O851" s="431">
        <v>4.88</v>
      </c>
      <c r="P851" s="431">
        <v>4.46</v>
      </c>
      <c r="Q851" s="179">
        <f t="shared" si="25"/>
        <v>5.3649999999999993</v>
      </c>
      <c r="R851" s="179" t="s">
        <v>958</v>
      </c>
    </row>
    <row r="852" spans="1:18" x14ac:dyDescent="0.15">
      <c r="A852" s="179" t="str">
        <f t="shared" si="24"/>
        <v>Gustavo A. Madero_Optimal Summer_180</v>
      </c>
      <c r="B852" s="501" t="s">
        <v>1141</v>
      </c>
      <c r="C852" s="429">
        <v>5</v>
      </c>
      <c r="D852" s="429">
        <v>180</v>
      </c>
      <c r="E852" s="431">
        <v>5</v>
      </c>
      <c r="F852" s="431">
        <v>5.9</v>
      </c>
      <c r="G852" s="431">
        <v>6.61</v>
      </c>
      <c r="H852" s="431">
        <v>6.41</v>
      </c>
      <c r="I852" s="431">
        <v>6.16</v>
      </c>
      <c r="J852" s="431">
        <v>5.61</v>
      </c>
      <c r="K852" s="431">
        <v>5.51</v>
      </c>
      <c r="L852" s="431">
        <v>5.31</v>
      </c>
      <c r="M852" s="431">
        <v>4.93</v>
      </c>
      <c r="N852" s="431">
        <v>5</v>
      </c>
      <c r="O852" s="431">
        <v>5</v>
      </c>
      <c r="P852" s="431">
        <v>4.57</v>
      </c>
      <c r="Q852" s="179">
        <f t="shared" si="25"/>
        <v>5.5008333333333335</v>
      </c>
      <c r="R852" s="179" t="s">
        <v>958</v>
      </c>
    </row>
    <row r="853" spans="1:18" x14ac:dyDescent="0.15">
      <c r="A853" s="179" t="str">
        <f t="shared" si="24"/>
        <v>Gustavo A. Madero_Optimal Summer_202.5</v>
      </c>
      <c r="B853" s="501" t="s">
        <v>1141</v>
      </c>
      <c r="C853" s="429">
        <v>5</v>
      </c>
      <c r="D853" s="429">
        <v>202.5</v>
      </c>
      <c r="E853" s="431">
        <v>4.88</v>
      </c>
      <c r="F853" s="431">
        <v>5.75</v>
      </c>
      <c r="G853" s="431">
        <v>6.44</v>
      </c>
      <c r="H853" s="431">
        <v>6.25</v>
      </c>
      <c r="I853" s="431">
        <v>6.01</v>
      </c>
      <c r="J853" s="431">
        <v>5.47</v>
      </c>
      <c r="K853" s="431">
        <v>5.37</v>
      </c>
      <c r="L853" s="431">
        <v>5.18</v>
      </c>
      <c r="M853" s="431">
        <v>4.8099999999999996</v>
      </c>
      <c r="N853" s="431">
        <v>4.88</v>
      </c>
      <c r="O853" s="431">
        <v>4.88</v>
      </c>
      <c r="P853" s="431">
        <v>4.46</v>
      </c>
      <c r="Q853" s="179">
        <f t="shared" si="25"/>
        <v>5.3649999999999993</v>
      </c>
      <c r="R853" s="179" t="s">
        <v>958</v>
      </c>
    </row>
    <row r="854" spans="1:18" x14ac:dyDescent="0.15">
      <c r="A854" s="179" t="str">
        <f t="shared" si="24"/>
        <v>Gustavo A. Madero_Optimal Summer_225</v>
      </c>
      <c r="B854" s="501" t="s">
        <v>1141</v>
      </c>
      <c r="C854" s="429">
        <v>5</v>
      </c>
      <c r="D854" s="429">
        <v>225</v>
      </c>
      <c r="E854" s="431">
        <v>4.75</v>
      </c>
      <c r="F854" s="431">
        <v>5.6</v>
      </c>
      <c r="G854" s="431">
        <v>6.28</v>
      </c>
      <c r="H854" s="431">
        <v>6.09</v>
      </c>
      <c r="I854" s="431">
        <v>5.85</v>
      </c>
      <c r="J854" s="431">
        <v>5.33</v>
      </c>
      <c r="K854" s="431">
        <v>5.23</v>
      </c>
      <c r="L854" s="431">
        <v>5.04</v>
      </c>
      <c r="M854" s="431">
        <v>4.68</v>
      </c>
      <c r="N854" s="431">
        <v>4.75</v>
      </c>
      <c r="O854" s="431">
        <v>4.75</v>
      </c>
      <c r="P854" s="431">
        <v>4.34</v>
      </c>
      <c r="Q854" s="179">
        <f t="shared" si="25"/>
        <v>5.2241666666666662</v>
      </c>
      <c r="R854" s="179" t="s">
        <v>958</v>
      </c>
    </row>
    <row r="855" spans="1:18" x14ac:dyDescent="0.15">
      <c r="A855" s="179" t="str">
        <f t="shared" si="24"/>
        <v>Gustavo A. Madero_Optimal Summer_247.5</v>
      </c>
      <c r="B855" s="501" t="s">
        <v>1141</v>
      </c>
      <c r="C855" s="429">
        <v>5</v>
      </c>
      <c r="D855" s="429">
        <v>247.5</v>
      </c>
      <c r="E855" s="431">
        <v>4.38</v>
      </c>
      <c r="F855" s="431">
        <v>5.16</v>
      </c>
      <c r="G855" s="431">
        <v>5.78</v>
      </c>
      <c r="H855" s="431">
        <v>5.61</v>
      </c>
      <c r="I855" s="431">
        <v>5.39</v>
      </c>
      <c r="J855" s="431">
        <v>4.91</v>
      </c>
      <c r="K855" s="431">
        <v>4.82</v>
      </c>
      <c r="L855" s="431">
        <v>4.6500000000000004</v>
      </c>
      <c r="M855" s="431">
        <v>4.3099999999999996</v>
      </c>
      <c r="N855" s="431">
        <v>4.38</v>
      </c>
      <c r="O855" s="431">
        <v>4.38</v>
      </c>
      <c r="P855" s="431">
        <v>4</v>
      </c>
      <c r="Q855" s="179">
        <f t="shared" si="25"/>
        <v>4.8141666666666669</v>
      </c>
      <c r="R855" s="179" t="s">
        <v>958</v>
      </c>
    </row>
    <row r="856" spans="1:18" x14ac:dyDescent="0.15">
      <c r="A856" s="179" t="str">
        <f t="shared" si="24"/>
        <v>Gustavo A. Madero_Optimal Summer_270</v>
      </c>
      <c r="B856" s="501" t="s">
        <v>1141</v>
      </c>
      <c r="C856" s="429">
        <v>5</v>
      </c>
      <c r="D856" s="429">
        <v>270</v>
      </c>
      <c r="E856" s="431">
        <v>4</v>
      </c>
      <c r="F856" s="431">
        <v>4.72</v>
      </c>
      <c r="G856" s="431">
        <v>5.29</v>
      </c>
      <c r="H856" s="431">
        <v>5.13</v>
      </c>
      <c r="I856" s="431">
        <v>4.93</v>
      </c>
      <c r="J856" s="431">
        <v>4.49</v>
      </c>
      <c r="K856" s="431">
        <v>4.41</v>
      </c>
      <c r="L856" s="431">
        <v>4.25</v>
      </c>
      <c r="M856" s="431">
        <v>3.94</v>
      </c>
      <c r="N856" s="431">
        <v>4</v>
      </c>
      <c r="O856" s="431">
        <v>4</v>
      </c>
      <c r="P856" s="431">
        <v>3.66</v>
      </c>
      <c r="Q856" s="179">
        <f t="shared" si="25"/>
        <v>4.4016666666666664</v>
      </c>
      <c r="R856" s="179" t="s">
        <v>958</v>
      </c>
    </row>
    <row r="857" spans="1:18" x14ac:dyDescent="0.15">
      <c r="A857" s="179" t="str">
        <f t="shared" si="24"/>
        <v>Gustavo A. Madero_Optimal Year Round_90</v>
      </c>
      <c r="B857" s="501" t="s">
        <v>1141</v>
      </c>
      <c r="C857" s="429">
        <v>20</v>
      </c>
      <c r="D857" s="429">
        <v>90</v>
      </c>
      <c r="E857" s="431">
        <v>4.62</v>
      </c>
      <c r="F857" s="431">
        <v>5.22</v>
      </c>
      <c r="G857" s="431">
        <v>5.5</v>
      </c>
      <c r="H857" s="431">
        <v>5.03</v>
      </c>
      <c r="I857" s="431">
        <v>4.63</v>
      </c>
      <c r="J857" s="431">
        <v>4.47</v>
      </c>
      <c r="K857" s="431">
        <v>4.37</v>
      </c>
      <c r="L857" s="431">
        <v>4.1100000000000003</v>
      </c>
      <c r="M857" s="431">
        <v>3.98</v>
      </c>
      <c r="N857" s="431">
        <v>4.26</v>
      </c>
      <c r="O857" s="431">
        <v>4.54</v>
      </c>
      <c r="P857" s="431">
        <v>4.2300000000000004</v>
      </c>
      <c r="Q857" s="179">
        <f t="shared" si="25"/>
        <v>4.5799999999999992</v>
      </c>
      <c r="R857" s="179" t="s">
        <v>993</v>
      </c>
    </row>
    <row r="858" spans="1:18" x14ac:dyDescent="0.15">
      <c r="A858" s="179" t="str">
        <f t="shared" si="24"/>
        <v>Gustavo A. Madero_Optimal Year Round_112.5</v>
      </c>
      <c r="B858" s="501" t="s">
        <v>1141</v>
      </c>
      <c r="C858" s="429">
        <v>20</v>
      </c>
      <c r="D858" s="429">
        <v>112.5</v>
      </c>
      <c r="E858" s="431">
        <v>5.0599999999999996</v>
      </c>
      <c r="F858" s="431">
        <v>5.7</v>
      </c>
      <c r="G858" s="431">
        <v>6.02</v>
      </c>
      <c r="H858" s="431">
        <v>5.5</v>
      </c>
      <c r="I858" s="431">
        <v>5.07</v>
      </c>
      <c r="J858" s="431">
        <v>4.8899999999999997</v>
      </c>
      <c r="K858" s="431">
        <v>4.78</v>
      </c>
      <c r="L858" s="431">
        <v>4.5</v>
      </c>
      <c r="M858" s="431">
        <v>4.3499999999999996</v>
      </c>
      <c r="N858" s="431">
        <v>4.66</v>
      </c>
      <c r="O858" s="431">
        <v>4.97</v>
      </c>
      <c r="P858" s="431">
        <v>4.63</v>
      </c>
      <c r="Q858" s="179">
        <f t="shared" si="25"/>
        <v>5.0108333333333333</v>
      </c>
      <c r="R858" s="179" t="s">
        <v>993</v>
      </c>
    </row>
    <row r="859" spans="1:18" x14ac:dyDescent="0.15">
      <c r="A859" s="179" t="str">
        <f t="shared" si="24"/>
        <v>Gustavo A. Madero_Optimal Year Round_135</v>
      </c>
      <c r="B859" s="501" t="s">
        <v>1141</v>
      </c>
      <c r="C859" s="429">
        <v>20</v>
      </c>
      <c r="D859" s="429">
        <v>135</v>
      </c>
      <c r="E859" s="431">
        <v>5.49</v>
      </c>
      <c r="F859" s="431">
        <v>6.19</v>
      </c>
      <c r="G859" s="431">
        <v>6.54</v>
      </c>
      <c r="H859" s="431">
        <v>5.98</v>
      </c>
      <c r="I859" s="431">
        <v>5.5</v>
      </c>
      <c r="J859" s="431">
        <v>5.31</v>
      </c>
      <c r="K859" s="431">
        <v>5.19</v>
      </c>
      <c r="L859" s="431">
        <v>4.88</v>
      </c>
      <c r="M859" s="431">
        <v>4.72</v>
      </c>
      <c r="N859" s="431">
        <v>5.0599999999999996</v>
      </c>
      <c r="O859" s="431">
        <v>5.4</v>
      </c>
      <c r="P859" s="431">
        <v>5.03</v>
      </c>
      <c r="Q859" s="179">
        <f t="shared" si="25"/>
        <v>5.440833333333333</v>
      </c>
      <c r="R859" s="179" t="s">
        <v>993</v>
      </c>
    </row>
    <row r="860" spans="1:18" x14ac:dyDescent="0.15">
      <c r="A860" s="179" t="str">
        <f t="shared" si="24"/>
        <v>Gustavo A. Madero_Optimal Year Round_157.5</v>
      </c>
      <c r="B860" s="501" t="s">
        <v>1141</v>
      </c>
      <c r="C860" s="429">
        <v>20</v>
      </c>
      <c r="D860" s="429">
        <v>157.5</v>
      </c>
      <c r="E860" s="431">
        <v>5.64</v>
      </c>
      <c r="F860" s="431">
        <v>6.36</v>
      </c>
      <c r="G860" s="431">
        <v>6.71</v>
      </c>
      <c r="H860" s="431">
        <v>6.13</v>
      </c>
      <c r="I860" s="431">
        <v>5.65</v>
      </c>
      <c r="J860" s="431">
        <v>5.45</v>
      </c>
      <c r="K860" s="431">
        <v>5.32</v>
      </c>
      <c r="L860" s="431">
        <v>5.01</v>
      </c>
      <c r="M860" s="431">
        <v>4.8499999999999996</v>
      </c>
      <c r="N860" s="431">
        <v>5.2</v>
      </c>
      <c r="O860" s="431">
        <v>5.54</v>
      </c>
      <c r="P860" s="431">
        <v>5.16</v>
      </c>
      <c r="Q860" s="179">
        <f t="shared" si="25"/>
        <v>5.5850000000000009</v>
      </c>
      <c r="R860" s="179" t="s">
        <v>993</v>
      </c>
    </row>
    <row r="861" spans="1:18" x14ac:dyDescent="0.15">
      <c r="A861" s="179" t="str">
        <f t="shared" si="24"/>
        <v>Gustavo A. Madero_Optimal Year Round_180</v>
      </c>
      <c r="B861" s="501" t="s">
        <v>1141</v>
      </c>
      <c r="C861" s="429">
        <v>20</v>
      </c>
      <c r="D861" s="429">
        <v>180</v>
      </c>
      <c r="E861" s="431">
        <v>5.78</v>
      </c>
      <c r="F861" s="431">
        <v>6.52</v>
      </c>
      <c r="G861" s="431">
        <v>6.88</v>
      </c>
      <c r="H861" s="431">
        <v>6.29</v>
      </c>
      <c r="I861" s="431">
        <v>5.79</v>
      </c>
      <c r="J861" s="431">
        <v>5.59</v>
      </c>
      <c r="K861" s="431">
        <v>5.46</v>
      </c>
      <c r="L861" s="431">
        <v>5.14</v>
      </c>
      <c r="M861" s="431">
        <v>4.97</v>
      </c>
      <c r="N861" s="431">
        <v>5.33</v>
      </c>
      <c r="O861" s="431">
        <v>5.68</v>
      </c>
      <c r="P861" s="431">
        <v>5.29</v>
      </c>
      <c r="Q861" s="179">
        <f t="shared" si="25"/>
        <v>5.7266666666666666</v>
      </c>
      <c r="R861" s="179" t="s">
        <v>993</v>
      </c>
    </row>
    <row r="862" spans="1:18" x14ac:dyDescent="0.15">
      <c r="A862" s="179" t="str">
        <f t="shared" si="24"/>
        <v>Gustavo A. Madero_Optimal Year Round_202.5</v>
      </c>
      <c r="B862" s="501" t="s">
        <v>1141</v>
      </c>
      <c r="C862" s="429">
        <v>20</v>
      </c>
      <c r="D862" s="429">
        <v>202.5</v>
      </c>
      <c r="E862" s="431">
        <v>5.64</v>
      </c>
      <c r="F862" s="431">
        <v>6.36</v>
      </c>
      <c r="G862" s="431">
        <v>6.71</v>
      </c>
      <c r="H862" s="431">
        <v>6.13</v>
      </c>
      <c r="I862" s="431">
        <v>5.65</v>
      </c>
      <c r="J862" s="431">
        <v>5.45</v>
      </c>
      <c r="K862" s="431">
        <v>5.32</v>
      </c>
      <c r="L862" s="431">
        <v>5.01</v>
      </c>
      <c r="M862" s="431">
        <v>4.8499999999999996</v>
      </c>
      <c r="N862" s="431">
        <v>5.2</v>
      </c>
      <c r="O862" s="431">
        <v>5.54</v>
      </c>
      <c r="P862" s="431">
        <v>5.16</v>
      </c>
      <c r="Q862" s="179">
        <f t="shared" si="25"/>
        <v>5.5850000000000009</v>
      </c>
      <c r="R862" s="179" t="s">
        <v>993</v>
      </c>
    </row>
    <row r="863" spans="1:18" x14ac:dyDescent="0.15">
      <c r="A863" s="179" t="str">
        <f t="shared" si="24"/>
        <v>Gustavo A. Madero_Optimal Year Round_225</v>
      </c>
      <c r="B863" s="501" t="s">
        <v>1141</v>
      </c>
      <c r="C863" s="429">
        <v>20</v>
      </c>
      <c r="D863" s="429">
        <v>225</v>
      </c>
      <c r="E863" s="431">
        <v>5.49</v>
      </c>
      <c r="F863" s="431">
        <v>6.19</v>
      </c>
      <c r="G863" s="431">
        <v>6.54</v>
      </c>
      <c r="H863" s="431">
        <v>5.98</v>
      </c>
      <c r="I863" s="431">
        <v>5.5</v>
      </c>
      <c r="J863" s="431">
        <v>5.31</v>
      </c>
      <c r="K863" s="431">
        <v>5.19</v>
      </c>
      <c r="L863" s="431">
        <v>4.88</v>
      </c>
      <c r="M863" s="431">
        <v>4.72</v>
      </c>
      <c r="N863" s="431">
        <v>5.0599999999999996</v>
      </c>
      <c r="O863" s="431">
        <v>5.4</v>
      </c>
      <c r="P863" s="431">
        <v>5.03</v>
      </c>
      <c r="Q863" s="179">
        <f t="shared" si="25"/>
        <v>5.440833333333333</v>
      </c>
      <c r="R863" s="179" t="s">
        <v>993</v>
      </c>
    </row>
    <row r="864" spans="1:18" x14ac:dyDescent="0.15">
      <c r="A864" s="179" t="str">
        <f t="shared" si="24"/>
        <v>Gustavo A. Madero_Optimal Year Round_247.5</v>
      </c>
      <c r="B864" s="501" t="s">
        <v>1141</v>
      </c>
      <c r="C864" s="429">
        <v>20</v>
      </c>
      <c r="D864" s="429">
        <v>247.5</v>
      </c>
      <c r="E864" s="431">
        <v>5.0599999999999996</v>
      </c>
      <c r="F864" s="431">
        <v>5.7</v>
      </c>
      <c r="G864" s="431">
        <v>6.02</v>
      </c>
      <c r="H864" s="431">
        <v>5.5</v>
      </c>
      <c r="I864" s="431">
        <v>5.07</v>
      </c>
      <c r="J864" s="431">
        <v>4.8899999999999997</v>
      </c>
      <c r="K864" s="431">
        <v>4.78</v>
      </c>
      <c r="L864" s="431">
        <v>4.5</v>
      </c>
      <c r="M864" s="431">
        <v>4.3499999999999996</v>
      </c>
      <c r="N864" s="431">
        <v>4.66</v>
      </c>
      <c r="O864" s="431">
        <v>4.97</v>
      </c>
      <c r="P864" s="431">
        <v>4.63</v>
      </c>
      <c r="Q864" s="179">
        <f t="shared" si="25"/>
        <v>5.0108333333333333</v>
      </c>
      <c r="R864" s="179" t="s">
        <v>993</v>
      </c>
    </row>
    <row r="865" spans="1:18" x14ac:dyDescent="0.15">
      <c r="A865" s="179" t="str">
        <f t="shared" si="24"/>
        <v>Gustavo A. Madero_Optimal Year Round_270</v>
      </c>
      <c r="B865" s="501" t="s">
        <v>1141</v>
      </c>
      <c r="C865" s="429">
        <v>20</v>
      </c>
      <c r="D865" s="429">
        <v>270</v>
      </c>
      <c r="E865" s="431">
        <v>4.62</v>
      </c>
      <c r="F865" s="431">
        <v>5.22</v>
      </c>
      <c r="G865" s="431">
        <v>5.5</v>
      </c>
      <c r="H865" s="431">
        <v>5.03</v>
      </c>
      <c r="I865" s="431">
        <v>4.63</v>
      </c>
      <c r="J865" s="431">
        <v>4.47</v>
      </c>
      <c r="K865" s="431">
        <v>4.37</v>
      </c>
      <c r="L865" s="431">
        <v>4.1100000000000003</v>
      </c>
      <c r="M865" s="431">
        <v>3.98</v>
      </c>
      <c r="N865" s="431">
        <v>4.26</v>
      </c>
      <c r="O865" s="431">
        <v>4.54</v>
      </c>
      <c r="P865" s="431">
        <v>4.2300000000000004</v>
      </c>
      <c r="Q865" s="179">
        <f t="shared" si="25"/>
        <v>4.5799999999999992</v>
      </c>
      <c r="R865" s="179" t="s">
        <v>993</v>
      </c>
    </row>
    <row r="866" spans="1:18" x14ac:dyDescent="0.15">
      <c r="A866" s="179" t="str">
        <f t="shared" si="24"/>
        <v>Hermosillo_Flat Surface_90</v>
      </c>
      <c r="B866" s="501" t="s">
        <v>1142</v>
      </c>
      <c r="C866" s="429">
        <v>0</v>
      </c>
      <c r="D866" s="429">
        <v>90</v>
      </c>
      <c r="E866" s="431">
        <v>3.71</v>
      </c>
      <c r="F866" s="431">
        <v>4.62</v>
      </c>
      <c r="G866" s="431">
        <v>6.12</v>
      </c>
      <c r="H866" s="431">
        <v>7.16</v>
      </c>
      <c r="I866" s="431">
        <v>7.69</v>
      </c>
      <c r="J866" s="431">
        <v>7.67</v>
      </c>
      <c r="K866" s="431">
        <v>6.66</v>
      </c>
      <c r="L866" s="431">
        <v>6.11</v>
      </c>
      <c r="M866" s="431">
        <v>5.72</v>
      </c>
      <c r="N866" s="431">
        <v>5.0199999999999996</v>
      </c>
      <c r="O866" s="431">
        <v>4.0599999999999996</v>
      </c>
      <c r="P866" s="431">
        <v>3.48</v>
      </c>
      <c r="Q866" s="179">
        <f t="shared" si="25"/>
        <v>5.668333333333333</v>
      </c>
      <c r="R866" s="179" t="s">
        <v>994</v>
      </c>
    </row>
    <row r="867" spans="1:18" x14ac:dyDescent="0.15">
      <c r="A867" s="179" t="str">
        <f t="shared" si="24"/>
        <v>Hermosillo_Flat Surface_112.5</v>
      </c>
      <c r="B867" s="501" t="s">
        <v>1142</v>
      </c>
      <c r="C867" s="429">
        <v>0</v>
      </c>
      <c r="D867" s="429">
        <v>112.5</v>
      </c>
      <c r="E867" s="431">
        <v>3.71</v>
      </c>
      <c r="F867" s="431">
        <v>4.62</v>
      </c>
      <c r="G867" s="431">
        <v>6.12</v>
      </c>
      <c r="H867" s="431">
        <v>7.16</v>
      </c>
      <c r="I867" s="431">
        <v>7.69</v>
      </c>
      <c r="J867" s="431">
        <v>7.67</v>
      </c>
      <c r="K867" s="431">
        <v>6.66</v>
      </c>
      <c r="L867" s="431">
        <v>6.11</v>
      </c>
      <c r="M867" s="431">
        <v>5.72</v>
      </c>
      <c r="N867" s="431">
        <v>5.0199999999999996</v>
      </c>
      <c r="O867" s="431">
        <v>4.0599999999999996</v>
      </c>
      <c r="P867" s="431">
        <v>3.48</v>
      </c>
      <c r="Q867" s="179">
        <f t="shared" si="25"/>
        <v>5.668333333333333</v>
      </c>
      <c r="R867" s="179" t="s">
        <v>994</v>
      </c>
    </row>
    <row r="868" spans="1:18" x14ac:dyDescent="0.15">
      <c r="A868" s="179" t="str">
        <f t="shared" si="24"/>
        <v>Hermosillo_Flat Surface_135</v>
      </c>
      <c r="B868" s="501" t="s">
        <v>1142</v>
      </c>
      <c r="C868" s="429">
        <v>0</v>
      </c>
      <c r="D868" s="429">
        <v>135</v>
      </c>
      <c r="E868" s="431">
        <v>3.71</v>
      </c>
      <c r="F868" s="431">
        <v>4.62</v>
      </c>
      <c r="G868" s="431">
        <v>6.12</v>
      </c>
      <c r="H868" s="431">
        <v>7.16</v>
      </c>
      <c r="I868" s="431">
        <v>7.69</v>
      </c>
      <c r="J868" s="431">
        <v>7.67</v>
      </c>
      <c r="K868" s="431">
        <v>6.66</v>
      </c>
      <c r="L868" s="431">
        <v>6.11</v>
      </c>
      <c r="M868" s="431">
        <v>5.72</v>
      </c>
      <c r="N868" s="431">
        <v>5.0199999999999996</v>
      </c>
      <c r="O868" s="431">
        <v>4.0599999999999996</v>
      </c>
      <c r="P868" s="431">
        <v>3.48</v>
      </c>
      <c r="Q868" s="179">
        <f t="shared" si="25"/>
        <v>5.668333333333333</v>
      </c>
      <c r="R868" s="179" t="s">
        <v>994</v>
      </c>
    </row>
    <row r="869" spans="1:18" x14ac:dyDescent="0.15">
      <c r="A869" s="179" t="str">
        <f t="shared" si="24"/>
        <v>Hermosillo_Flat Surface_157.5</v>
      </c>
      <c r="B869" s="501" t="s">
        <v>1142</v>
      </c>
      <c r="C869" s="429">
        <v>0</v>
      </c>
      <c r="D869" s="429">
        <v>157.5</v>
      </c>
      <c r="E869" s="431">
        <v>3.71</v>
      </c>
      <c r="F869" s="431">
        <v>4.62</v>
      </c>
      <c r="G869" s="431">
        <v>6.12</v>
      </c>
      <c r="H869" s="431">
        <v>7.16</v>
      </c>
      <c r="I869" s="431">
        <v>7.69</v>
      </c>
      <c r="J869" s="431">
        <v>7.67</v>
      </c>
      <c r="K869" s="431">
        <v>6.66</v>
      </c>
      <c r="L869" s="431">
        <v>6.11</v>
      </c>
      <c r="M869" s="431">
        <v>5.72</v>
      </c>
      <c r="N869" s="431">
        <v>5.0199999999999996</v>
      </c>
      <c r="O869" s="431">
        <v>4.0599999999999996</v>
      </c>
      <c r="P869" s="431">
        <v>3.48</v>
      </c>
      <c r="Q869" s="179">
        <f t="shared" si="25"/>
        <v>5.668333333333333</v>
      </c>
      <c r="R869" s="179" t="s">
        <v>994</v>
      </c>
    </row>
    <row r="870" spans="1:18" x14ac:dyDescent="0.15">
      <c r="A870" s="179" t="str">
        <f t="shared" si="24"/>
        <v>Hermosillo_Flat Surface_180</v>
      </c>
      <c r="B870" s="501" t="s">
        <v>1142</v>
      </c>
      <c r="C870" s="429">
        <v>0</v>
      </c>
      <c r="D870" s="429">
        <v>180</v>
      </c>
      <c r="E870" s="431">
        <v>3.71</v>
      </c>
      <c r="F870" s="431">
        <v>4.62</v>
      </c>
      <c r="G870" s="431">
        <v>6.12</v>
      </c>
      <c r="H870" s="431">
        <v>7.16</v>
      </c>
      <c r="I870" s="431">
        <v>7.69</v>
      </c>
      <c r="J870" s="431">
        <v>7.67</v>
      </c>
      <c r="K870" s="431">
        <v>6.66</v>
      </c>
      <c r="L870" s="431">
        <v>6.11</v>
      </c>
      <c r="M870" s="431">
        <v>5.72</v>
      </c>
      <c r="N870" s="431">
        <v>5.0199999999999996</v>
      </c>
      <c r="O870" s="431">
        <v>4.0599999999999996</v>
      </c>
      <c r="P870" s="431">
        <v>3.48</v>
      </c>
      <c r="Q870" s="179">
        <f t="shared" si="25"/>
        <v>5.668333333333333</v>
      </c>
      <c r="R870" s="179" t="s">
        <v>994</v>
      </c>
    </row>
    <row r="871" spans="1:18" x14ac:dyDescent="0.15">
      <c r="A871" s="179" t="str">
        <f t="shared" si="24"/>
        <v>Hermosillo_Flat Surface_202.5</v>
      </c>
      <c r="B871" s="501" t="s">
        <v>1142</v>
      </c>
      <c r="C871" s="429">
        <v>0</v>
      </c>
      <c r="D871" s="429">
        <v>202.5</v>
      </c>
      <c r="E871" s="431">
        <v>3.71</v>
      </c>
      <c r="F871" s="431">
        <v>4.62</v>
      </c>
      <c r="G871" s="431">
        <v>6.12</v>
      </c>
      <c r="H871" s="431">
        <v>7.16</v>
      </c>
      <c r="I871" s="431">
        <v>7.69</v>
      </c>
      <c r="J871" s="431">
        <v>7.67</v>
      </c>
      <c r="K871" s="431">
        <v>6.66</v>
      </c>
      <c r="L871" s="431">
        <v>6.11</v>
      </c>
      <c r="M871" s="431">
        <v>5.72</v>
      </c>
      <c r="N871" s="431">
        <v>5.0199999999999996</v>
      </c>
      <c r="O871" s="431">
        <v>4.0599999999999996</v>
      </c>
      <c r="P871" s="431">
        <v>3.48</v>
      </c>
      <c r="Q871" s="179">
        <f t="shared" si="25"/>
        <v>5.668333333333333</v>
      </c>
      <c r="R871" s="179" t="s">
        <v>994</v>
      </c>
    </row>
    <row r="872" spans="1:18" x14ac:dyDescent="0.15">
      <c r="A872" s="179" t="str">
        <f t="shared" si="24"/>
        <v>Hermosillo_Flat Surface_225</v>
      </c>
      <c r="B872" s="501" t="s">
        <v>1142</v>
      </c>
      <c r="C872" s="429">
        <v>0</v>
      </c>
      <c r="D872" s="429">
        <v>225</v>
      </c>
      <c r="E872" s="431">
        <v>3.71</v>
      </c>
      <c r="F872" s="431">
        <v>4.62</v>
      </c>
      <c r="G872" s="431">
        <v>6.12</v>
      </c>
      <c r="H872" s="431">
        <v>7.16</v>
      </c>
      <c r="I872" s="431">
        <v>7.69</v>
      </c>
      <c r="J872" s="431">
        <v>7.67</v>
      </c>
      <c r="K872" s="431">
        <v>6.66</v>
      </c>
      <c r="L872" s="431">
        <v>6.11</v>
      </c>
      <c r="M872" s="431">
        <v>5.72</v>
      </c>
      <c r="N872" s="431">
        <v>5.0199999999999996</v>
      </c>
      <c r="O872" s="431">
        <v>4.0599999999999996</v>
      </c>
      <c r="P872" s="431">
        <v>3.48</v>
      </c>
      <c r="Q872" s="179">
        <f t="shared" si="25"/>
        <v>5.668333333333333</v>
      </c>
      <c r="R872" s="179" t="s">
        <v>994</v>
      </c>
    </row>
    <row r="873" spans="1:18" x14ac:dyDescent="0.15">
      <c r="A873" s="179" t="str">
        <f t="shared" si="24"/>
        <v>Hermosillo_Flat Surface_247.5</v>
      </c>
      <c r="B873" s="501" t="s">
        <v>1142</v>
      </c>
      <c r="C873" s="429">
        <v>0</v>
      </c>
      <c r="D873" s="429">
        <v>247.5</v>
      </c>
      <c r="E873" s="431">
        <v>3.71</v>
      </c>
      <c r="F873" s="431">
        <v>4.62</v>
      </c>
      <c r="G873" s="431">
        <v>6.12</v>
      </c>
      <c r="H873" s="431">
        <v>7.16</v>
      </c>
      <c r="I873" s="431">
        <v>7.69</v>
      </c>
      <c r="J873" s="431">
        <v>7.67</v>
      </c>
      <c r="K873" s="431">
        <v>6.66</v>
      </c>
      <c r="L873" s="431">
        <v>6.11</v>
      </c>
      <c r="M873" s="431">
        <v>5.72</v>
      </c>
      <c r="N873" s="431">
        <v>5.0199999999999996</v>
      </c>
      <c r="O873" s="431">
        <v>4.0599999999999996</v>
      </c>
      <c r="P873" s="431">
        <v>3.48</v>
      </c>
      <c r="Q873" s="179">
        <f t="shared" si="25"/>
        <v>5.668333333333333</v>
      </c>
      <c r="R873" s="179" t="s">
        <v>994</v>
      </c>
    </row>
    <row r="874" spans="1:18" x14ac:dyDescent="0.15">
      <c r="A874" s="179" t="str">
        <f t="shared" si="24"/>
        <v>Hermosillo_Flat Surface_270</v>
      </c>
      <c r="B874" s="501" t="s">
        <v>1142</v>
      </c>
      <c r="C874" s="429">
        <v>0</v>
      </c>
      <c r="D874" s="429">
        <v>270</v>
      </c>
      <c r="E874" s="431">
        <v>3.71</v>
      </c>
      <c r="F874" s="431">
        <v>4.62</v>
      </c>
      <c r="G874" s="431">
        <v>6.12</v>
      </c>
      <c r="H874" s="431">
        <v>7.16</v>
      </c>
      <c r="I874" s="431">
        <v>7.69</v>
      </c>
      <c r="J874" s="431">
        <v>7.67</v>
      </c>
      <c r="K874" s="431">
        <v>6.66</v>
      </c>
      <c r="L874" s="431">
        <v>6.11</v>
      </c>
      <c r="M874" s="431">
        <v>5.72</v>
      </c>
      <c r="N874" s="431">
        <v>5.0199999999999996</v>
      </c>
      <c r="O874" s="431">
        <v>4.0599999999999996</v>
      </c>
      <c r="P874" s="431">
        <v>3.48</v>
      </c>
      <c r="Q874" s="179">
        <f t="shared" si="25"/>
        <v>5.668333333333333</v>
      </c>
      <c r="R874" s="179" t="s">
        <v>994</v>
      </c>
    </row>
    <row r="875" spans="1:18" x14ac:dyDescent="0.15">
      <c r="A875" s="179" t="str">
        <f t="shared" si="24"/>
        <v>Hermosillo_Optimal Summer_90</v>
      </c>
      <c r="B875" s="501" t="s">
        <v>1142</v>
      </c>
      <c r="C875" s="429">
        <v>14</v>
      </c>
      <c r="D875" s="429">
        <v>90</v>
      </c>
      <c r="E875" s="431">
        <v>3.67</v>
      </c>
      <c r="F875" s="431">
        <v>4.33</v>
      </c>
      <c r="G875" s="431">
        <v>5.38</v>
      </c>
      <c r="H875" s="431">
        <v>5.91</v>
      </c>
      <c r="I875" s="431">
        <v>6.03</v>
      </c>
      <c r="J875" s="431">
        <v>5.9</v>
      </c>
      <c r="K875" s="431">
        <v>5.18</v>
      </c>
      <c r="L875" s="431">
        <v>4.9000000000000004</v>
      </c>
      <c r="M875" s="431">
        <v>4.87</v>
      </c>
      <c r="N875" s="431">
        <v>4.59</v>
      </c>
      <c r="O875" s="431">
        <v>3.97</v>
      </c>
      <c r="P875" s="431">
        <v>3.5</v>
      </c>
      <c r="Q875" s="179">
        <f t="shared" si="25"/>
        <v>4.8524999999999991</v>
      </c>
      <c r="R875" s="179" t="s">
        <v>958</v>
      </c>
    </row>
    <row r="876" spans="1:18" x14ac:dyDescent="0.15">
      <c r="A876" s="179" t="str">
        <f t="shared" si="24"/>
        <v>Hermosillo_Optimal Summer_112.5</v>
      </c>
      <c r="B876" s="501" t="s">
        <v>1142</v>
      </c>
      <c r="C876" s="429">
        <v>14</v>
      </c>
      <c r="D876" s="429">
        <v>112.5</v>
      </c>
      <c r="E876" s="431">
        <v>4.0199999999999996</v>
      </c>
      <c r="F876" s="431">
        <v>4.7300000000000004</v>
      </c>
      <c r="G876" s="431">
        <v>5.89</v>
      </c>
      <c r="H876" s="431">
        <v>6.47</v>
      </c>
      <c r="I876" s="431">
        <v>6.6</v>
      </c>
      <c r="J876" s="431">
        <v>6.46</v>
      </c>
      <c r="K876" s="431">
        <v>5.67</v>
      </c>
      <c r="L876" s="431">
        <v>5.36</v>
      </c>
      <c r="M876" s="431">
        <v>5.33</v>
      </c>
      <c r="N876" s="431">
        <v>5.0199999999999996</v>
      </c>
      <c r="O876" s="431">
        <v>4.34</v>
      </c>
      <c r="P876" s="431">
        <v>3.83</v>
      </c>
      <c r="Q876" s="179">
        <f t="shared" si="25"/>
        <v>5.31</v>
      </c>
      <c r="R876" s="179" t="s">
        <v>958</v>
      </c>
    </row>
    <row r="877" spans="1:18" x14ac:dyDescent="0.15">
      <c r="A877" s="179" t="str">
        <f t="shared" si="24"/>
        <v>Hermosillo_Optimal Summer_135</v>
      </c>
      <c r="B877" s="501" t="s">
        <v>1142</v>
      </c>
      <c r="C877" s="429">
        <v>14</v>
      </c>
      <c r="D877" s="429">
        <v>135</v>
      </c>
      <c r="E877" s="431">
        <v>4.3600000000000003</v>
      </c>
      <c r="F877" s="431">
        <v>5.14</v>
      </c>
      <c r="G877" s="431">
        <v>6.39</v>
      </c>
      <c r="H877" s="431">
        <v>7.02</v>
      </c>
      <c r="I877" s="431">
        <v>7.16</v>
      </c>
      <c r="J877" s="431">
        <v>7.01</v>
      </c>
      <c r="K877" s="431">
        <v>6.16</v>
      </c>
      <c r="L877" s="431">
        <v>5.82</v>
      </c>
      <c r="M877" s="431">
        <v>5.79</v>
      </c>
      <c r="N877" s="431">
        <v>5.45</v>
      </c>
      <c r="O877" s="431">
        <v>4.71</v>
      </c>
      <c r="P877" s="431">
        <v>4.16</v>
      </c>
      <c r="Q877" s="179">
        <f t="shared" si="25"/>
        <v>5.7641666666666653</v>
      </c>
      <c r="R877" s="179" t="s">
        <v>958</v>
      </c>
    </row>
    <row r="878" spans="1:18" x14ac:dyDescent="0.15">
      <c r="A878" s="179" t="str">
        <f t="shared" si="24"/>
        <v>Hermosillo_Optimal Summer_157.5</v>
      </c>
      <c r="B878" s="501" t="s">
        <v>1142</v>
      </c>
      <c r="C878" s="429">
        <v>14</v>
      </c>
      <c r="D878" s="429">
        <v>157.5</v>
      </c>
      <c r="E878" s="431">
        <v>4.4800000000000004</v>
      </c>
      <c r="F878" s="431">
        <v>5.27</v>
      </c>
      <c r="G878" s="431">
        <v>6.56</v>
      </c>
      <c r="H878" s="431">
        <v>7.21</v>
      </c>
      <c r="I878" s="431">
        <v>7.35</v>
      </c>
      <c r="J878" s="431">
        <v>7.2</v>
      </c>
      <c r="K878" s="431">
        <v>6.32</v>
      </c>
      <c r="L878" s="431">
        <v>5.98</v>
      </c>
      <c r="M878" s="431">
        <v>5.94</v>
      </c>
      <c r="N878" s="431">
        <v>5.6</v>
      </c>
      <c r="O878" s="431">
        <v>4.84</v>
      </c>
      <c r="P878" s="431">
        <v>4.2699999999999996</v>
      </c>
      <c r="Q878" s="179">
        <f t="shared" si="25"/>
        <v>5.918333333333333</v>
      </c>
      <c r="R878" s="179" t="s">
        <v>958</v>
      </c>
    </row>
    <row r="879" spans="1:18" x14ac:dyDescent="0.15">
      <c r="A879" s="179" t="str">
        <f t="shared" si="24"/>
        <v>Hermosillo_Optimal Summer_180</v>
      </c>
      <c r="B879" s="501" t="s">
        <v>1142</v>
      </c>
      <c r="C879" s="429">
        <v>14</v>
      </c>
      <c r="D879" s="429">
        <v>180</v>
      </c>
      <c r="E879" s="431">
        <v>4.59</v>
      </c>
      <c r="F879" s="431">
        <v>5.41</v>
      </c>
      <c r="G879" s="431">
        <v>6.73</v>
      </c>
      <c r="H879" s="431">
        <v>7.39</v>
      </c>
      <c r="I879" s="431">
        <v>7.54</v>
      </c>
      <c r="J879" s="431">
        <v>7.38</v>
      </c>
      <c r="K879" s="431">
        <v>6.48</v>
      </c>
      <c r="L879" s="431">
        <v>6.13</v>
      </c>
      <c r="M879" s="431">
        <v>6.09</v>
      </c>
      <c r="N879" s="431">
        <v>5.74</v>
      </c>
      <c r="O879" s="431">
        <v>4.96</v>
      </c>
      <c r="P879" s="431">
        <v>4.38</v>
      </c>
      <c r="Q879" s="179">
        <f t="shared" si="25"/>
        <v>6.0683333333333325</v>
      </c>
      <c r="R879" s="179" t="s">
        <v>958</v>
      </c>
    </row>
    <row r="880" spans="1:18" x14ac:dyDescent="0.15">
      <c r="A880" s="179" t="str">
        <f t="shared" si="24"/>
        <v>Hermosillo_Optimal Summer_202.5</v>
      </c>
      <c r="B880" s="501" t="s">
        <v>1142</v>
      </c>
      <c r="C880" s="429">
        <v>14</v>
      </c>
      <c r="D880" s="429">
        <v>202.5</v>
      </c>
      <c r="E880" s="431">
        <v>4.4800000000000004</v>
      </c>
      <c r="F880" s="431">
        <v>5.27</v>
      </c>
      <c r="G880" s="431">
        <v>6.56</v>
      </c>
      <c r="H880" s="431">
        <v>7.21</v>
      </c>
      <c r="I880" s="431">
        <v>7.35</v>
      </c>
      <c r="J880" s="431">
        <v>7.2</v>
      </c>
      <c r="K880" s="431">
        <v>6.32</v>
      </c>
      <c r="L880" s="431">
        <v>5.98</v>
      </c>
      <c r="M880" s="431">
        <v>5.94</v>
      </c>
      <c r="N880" s="431">
        <v>5.6</v>
      </c>
      <c r="O880" s="431">
        <v>4.84</v>
      </c>
      <c r="P880" s="431">
        <v>4.2699999999999996</v>
      </c>
      <c r="Q880" s="179">
        <f t="shared" si="25"/>
        <v>5.918333333333333</v>
      </c>
      <c r="R880" s="179" t="s">
        <v>958</v>
      </c>
    </row>
    <row r="881" spans="1:18" x14ac:dyDescent="0.15">
      <c r="A881" s="179" t="str">
        <f t="shared" si="24"/>
        <v>Hermosillo_Optimal Summer_225</v>
      </c>
      <c r="B881" s="501" t="s">
        <v>1142</v>
      </c>
      <c r="C881" s="429">
        <v>14</v>
      </c>
      <c r="D881" s="429">
        <v>225</v>
      </c>
      <c r="E881" s="431">
        <v>4.3600000000000003</v>
      </c>
      <c r="F881" s="431">
        <v>5.14</v>
      </c>
      <c r="G881" s="431">
        <v>6.39</v>
      </c>
      <c r="H881" s="431">
        <v>7.02</v>
      </c>
      <c r="I881" s="431">
        <v>7.16</v>
      </c>
      <c r="J881" s="431">
        <v>7.01</v>
      </c>
      <c r="K881" s="431">
        <v>6.16</v>
      </c>
      <c r="L881" s="431">
        <v>5.82</v>
      </c>
      <c r="M881" s="431">
        <v>5.79</v>
      </c>
      <c r="N881" s="431">
        <v>5.45</v>
      </c>
      <c r="O881" s="431">
        <v>4.71</v>
      </c>
      <c r="P881" s="431">
        <v>4.16</v>
      </c>
      <c r="Q881" s="179">
        <f t="shared" si="25"/>
        <v>5.7641666666666653</v>
      </c>
      <c r="R881" s="179" t="s">
        <v>958</v>
      </c>
    </row>
    <row r="882" spans="1:18" x14ac:dyDescent="0.15">
      <c r="A882" s="179" t="str">
        <f t="shared" si="24"/>
        <v>Hermosillo_Optimal Summer_247.5</v>
      </c>
      <c r="B882" s="501" t="s">
        <v>1142</v>
      </c>
      <c r="C882" s="429">
        <v>14</v>
      </c>
      <c r="D882" s="429">
        <v>247.5</v>
      </c>
      <c r="E882" s="431">
        <v>4.0199999999999996</v>
      </c>
      <c r="F882" s="431">
        <v>4.7300000000000004</v>
      </c>
      <c r="G882" s="431">
        <v>5.89</v>
      </c>
      <c r="H882" s="431">
        <v>6.47</v>
      </c>
      <c r="I882" s="431">
        <v>6.6</v>
      </c>
      <c r="J882" s="431">
        <v>6.46</v>
      </c>
      <c r="K882" s="431">
        <v>5.67</v>
      </c>
      <c r="L882" s="431">
        <v>5.36</v>
      </c>
      <c r="M882" s="431">
        <v>5.33</v>
      </c>
      <c r="N882" s="431">
        <v>5.0199999999999996</v>
      </c>
      <c r="O882" s="431">
        <v>4.34</v>
      </c>
      <c r="P882" s="431">
        <v>3.83</v>
      </c>
      <c r="Q882" s="179">
        <f t="shared" si="25"/>
        <v>5.31</v>
      </c>
      <c r="R882" s="179" t="s">
        <v>958</v>
      </c>
    </row>
    <row r="883" spans="1:18" x14ac:dyDescent="0.15">
      <c r="A883" s="179" t="str">
        <f t="shared" si="24"/>
        <v>Hermosillo_Optimal Summer_270</v>
      </c>
      <c r="B883" s="501" t="s">
        <v>1142</v>
      </c>
      <c r="C883" s="429">
        <v>14</v>
      </c>
      <c r="D883" s="429">
        <v>270</v>
      </c>
      <c r="E883" s="431">
        <v>3.67</v>
      </c>
      <c r="F883" s="431">
        <v>4.33</v>
      </c>
      <c r="G883" s="431">
        <v>5.38</v>
      </c>
      <c r="H883" s="431">
        <v>5.91</v>
      </c>
      <c r="I883" s="431">
        <v>6.03</v>
      </c>
      <c r="J883" s="431">
        <v>5.9</v>
      </c>
      <c r="K883" s="431">
        <v>5.18</v>
      </c>
      <c r="L883" s="431">
        <v>4.9000000000000004</v>
      </c>
      <c r="M883" s="431">
        <v>4.87</v>
      </c>
      <c r="N883" s="431">
        <v>4.59</v>
      </c>
      <c r="O883" s="431">
        <v>3.97</v>
      </c>
      <c r="P883" s="431">
        <v>3.5</v>
      </c>
      <c r="Q883" s="179">
        <f t="shared" si="25"/>
        <v>4.8524999999999991</v>
      </c>
      <c r="R883" s="179" t="s">
        <v>958</v>
      </c>
    </row>
    <row r="884" spans="1:18" x14ac:dyDescent="0.15">
      <c r="A884" s="179" t="str">
        <f t="shared" si="24"/>
        <v>Hermosillo_Optimal Year Round_90</v>
      </c>
      <c r="B884" s="501" t="s">
        <v>1142</v>
      </c>
      <c r="C884" s="429">
        <v>29</v>
      </c>
      <c r="D884" s="429">
        <v>90</v>
      </c>
      <c r="E884" s="431">
        <v>4.22</v>
      </c>
      <c r="F884" s="431">
        <v>4.7699999999999996</v>
      </c>
      <c r="G884" s="431">
        <v>5.62</v>
      </c>
      <c r="H884" s="431">
        <v>5.8</v>
      </c>
      <c r="I884" s="431">
        <v>5.59</v>
      </c>
      <c r="J884" s="431">
        <v>5.36</v>
      </c>
      <c r="K884" s="431">
        <v>4.78</v>
      </c>
      <c r="L884" s="431">
        <v>4.6900000000000004</v>
      </c>
      <c r="M884" s="431">
        <v>4.93</v>
      </c>
      <c r="N884" s="431">
        <v>4.97</v>
      </c>
      <c r="O884" s="431">
        <v>4.5199999999999996</v>
      </c>
      <c r="P884" s="431">
        <v>4.09</v>
      </c>
      <c r="Q884" s="179">
        <f t="shared" si="25"/>
        <v>4.9450000000000003</v>
      </c>
      <c r="R884" s="179" t="s">
        <v>993</v>
      </c>
    </row>
    <row r="885" spans="1:18" x14ac:dyDescent="0.15">
      <c r="A885" s="179" t="str">
        <f t="shared" si="24"/>
        <v>Hermosillo_Optimal Year Round_112.5</v>
      </c>
      <c r="B885" s="501" t="s">
        <v>1142</v>
      </c>
      <c r="C885" s="429">
        <v>29</v>
      </c>
      <c r="D885" s="429">
        <v>112.5</v>
      </c>
      <c r="E885" s="431">
        <v>4.6100000000000003</v>
      </c>
      <c r="F885" s="431">
        <v>5.22</v>
      </c>
      <c r="G885" s="431">
        <v>6.14</v>
      </c>
      <c r="H885" s="431">
        <v>6.34</v>
      </c>
      <c r="I885" s="431">
        <v>6.12</v>
      </c>
      <c r="J885" s="431">
        <v>5.86</v>
      </c>
      <c r="K885" s="431">
        <v>5.23</v>
      </c>
      <c r="L885" s="431">
        <v>5.13</v>
      </c>
      <c r="M885" s="431">
        <v>5.39</v>
      </c>
      <c r="N885" s="431">
        <v>5.43</v>
      </c>
      <c r="O885" s="431">
        <v>4.9400000000000004</v>
      </c>
      <c r="P885" s="431">
        <v>4.47</v>
      </c>
      <c r="Q885" s="179">
        <f t="shared" si="25"/>
        <v>5.4066666666666663</v>
      </c>
      <c r="R885" s="179" t="s">
        <v>993</v>
      </c>
    </row>
    <row r="886" spans="1:18" x14ac:dyDescent="0.15">
      <c r="A886" s="179" t="str">
        <f t="shared" si="24"/>
        <v>Hermosillo_Optimal Year Round_135</v>
      </c>
      <c r="B886" s="501" t="s">
        <v>1142</v>
      </c>
      <c r="C886" s="429">
        <v>29</v>
      </c>
      <c r="D886" s="429">
        <v>135</v>
      </c>
      <c r="E886" s="431">
        <v>5.01</v>
      </c>
      <c r="F886" s="431">
        <v>5.66</v>
      </c>
      <c r="G886" s="431">
        <v>6.67</v>
      </c>
      <c r="H886" s="431">
        <v>6.89</v>
      </c>
      <c r="I886" s="431">
        <v>6.64</v>
      </c>
      <c r="J886" s="431">
        <v>6.36</v>
      </c>
      <c r="K886" s="431">
        <v>5.68</v>
      </c>
      <c r="L886" s="431">
        <v>5.57</v>
      </c>
      <c r="M886" s="431">
        <v>5.85</v>
      </c>
      <c r="N886" s="431">
        <v>5.9</v>
      </c>
      <c r="O886" s="431">
        <v>5.37</v>
      </c>
      <c r="P886" s="431">
        <v>4.8499999999999996</v>
      </c>
      <c r="Q886" s="179">
        <f t="shared" si="25"/>
        <v>5.8708333333333336</v>
      </c>
      <c r="R886" s="179" t="s">
        <v>993</v>
      </c>
    </row>
    <row r="887" spans="1:18" x14ac:dyDescent="0.15">
      <c r="A887" s="179" t="str">
        <f t="shared" si="24"/>
        <v>Hermosillo_Optimal Year Round_157.5</v>
      </c>
      <c r="B887" s="501" t="s">
        <v>1142</v>
      </c>
      <c r="C887" s="429">
        <v>29</v>
      </c>
      <c r="D887" s="429">
        <v>157.5</v>
      </c>
      <c r="E887" s="431">
        <v>5.14</v>
      </c>
      <c r="F887" s="431">
        <v>5.81</v>
      </c>
      <c r="G887" s="431">
        <v>6.84</v>
      </c>
      <c r="H887" s="431">
        <v>7.07</v>
      </c>
      <c r="I887" s="431">
        <v>6.82</v>
      </c>
      <c r="J887" s="431">
        <v>6.53</v>
      </c>
      <c r="K887" s="431">
        <v>5.83</v>
      </c>
      <c r="L887" s="431">
        <v>5.71</v>
      </c>
      <c r="M887" s="431">
        <v>6.01</v>
      </c>
      <c r="N887" s="431">
        <v>6.05</v>
      </c>
      <c r="O887" s="431">
        <v>5.51</v>
      </c>
      <c r="P887" s="431">
        <v>4.9800000000000004</v>
      </c>
      <c r="Q887" s="179">
        <f t="shared" si="25"/>
        <v>6.0249999999999995</v>
      </c>
      <c r="R887" s="179" t="s">
        <v>993</v>
      </c>
    </row>
    <row r="888" spans="1:18" x14ac:dyDescent="0.15">
      <c r="A888" s="179" t="str">
        <f t="shared" si="24"/>
        <v>Hermosillo_Optimal Year Round_180</v>
      </c>
      <c r="B888" s="501" t="s">
        <v>1142</v>
      </c>
      <c r="C888" s="429">
        <v>29</v>
      </c>
      <c r="D888" s="429">
        <v>180</v>
      </c>
      <c r="E888" s="431">
        <v>5.27</v>
      </c>
      <c r="F888" s="431">
        <v>5.96</v>
      </c>
      <c r="G888" s="431">
        <v>7.02</v>
      </c>
      <c r="H888" s="431">
        <v>7.25</v>
      </c>
      <c r="I888" s="431">
        <v>6.99</v>
      </c>
      <c r="J888" s="431">
        <v>6.7</v>
      </c>
      <c r="K888" s="431">
        <v>5.98</v>
      </c>
      <c r="L888" s="431">
        <v>5.86</v>
      </c>
      <c r="M888" s="431">
        <v>6.16</v>
      </c>
      <c r="N888" s="431">
        <v>6.21</v>
      </c>
      <c r="O888" s="431">
        <v>5.65</v>
      </c>
      <c r="P888" s="431">
        <v>5.1100000000000003</v>
      </c>
      <c r="Q888" s="179">
        <f t="shared" si="25"/>
        <v>6.18</v>
      </c>
      <c r="R888" s="179" t="s">
        <v>993</v>
      </c>
    </row>
    <row r="889" spans="1:18" x14ac:dyDescent="0.15">
      <c r="A889" s="179" t="str">
        <f t="shared" si="24"/>
        <v>Hermosillo_Optimal Year Round_202.5</v>
      </c>
      <c r="B889" s="501" t="s">
        <v>1142</v>
      </c>
      <c r="C889" s="429">
        <v>29</v>
      </c>
      <c r="D889" s="429">
        <v>202.5</v>
      </c>
      <c r="E889" s="431">
        <v>5.14</v>
      </c>
      <c r="F889" s="431">
        <v>5.81</v>
      </c>
      <c r="G889" s="431">
        <v>6.84</v>
      </c>
      <c r="H889" s="431">
        <v>7.07</v>
      </c>
      <c r="I889" s="431">
        <v>6.82</v>
      </c>
      <c r="J889" s="431">
        <v>6.53</v>
      </c>
      <c r="K889" s="431">
        <v>5.83</v>
      </c>
      <c r="L889" s="431">
        <v>5.71</v>
      </c>
      <c r="M889" s="431">
        <v>6.01</v>
      </c>
      <c r="N889" s="431">
        <v>6.05</v>
      </c>
      <c r="O889" s="431">
        <v>5.51</v>
      </c>
      <c r="P889" s="431">
        <v>4.9800000000000004</v>
      </c>
      <c r="Q889" s="179">
        <f t="shared" si="25"/>
        <v>6.0249999999999995</v>
      </c>
      <c r="R889" s="179" t="s">
        <v>993</v>
      </c>
    </row>
    <row r="890" spans="1:18" x14ac:dyDescent="0.15">
      <c r="A890" s="179" t="str">
        <f t="shared" si="24"/>
        <v>Hermosillo_Optimal Year Round_225</v>
      </c>
      <c r="B890" s="501" t="s">
        <v>1142</v>
      </c>
      <c r="C890" s="429">
        <v>29</v>
      </c>
      <c r="D890" s="429">
        <v>225</v>
      </c>
      <c r="E890" s="431">
        <v>5.01</v>
      </c>
      <c r="F890" s="431">
        <v>5.66</v>
      </c>
      <c r="G890" s="431">
        <v>6.67</v>
      </c>
      <c r="H890" s="431">
        <v>6.89</v>
      </c>
      <c r="I890" s="431">
        <v>6.64</v>
      </c>
      <c r="J890" s="431">
        <v>6.36</v>
      </c>
      <c r="K890" s="431">
        <v>5.68</v>
      </c>
      <c r="L890" s="431">
        <v>5.57</v>
      </c>
      <c r="M890" s="431">
        <v>5.85</v>
      </c>
      <c r="N890" s="431">
        <v>5.9</v>
      </c>
      <c r="O890" s="431">
        <v>5.37</v>
      </c>
      <c r="P890" s="431">
        <v>4.8499999999999996</v>
      </c>
      <c r="Q890" s="179">
        <f t="shared" si="25"/>
        <v>5.8708333333333336</v>
      </c>
      <c r="R890" s="179" t="s">
        <v>993</v>
      </c>
    </row>
    <row r="891" spans="1:18" x14ac:dyDescent="0.15">
      <c r="A891" s="179" t="str">
        <f t="shared" si="24"/>
        <v>Hermosillo_Optimal Year Round_247.5</v>
      </c>
      <c r="B891" s="501" t="s">
        <v>1142</v>
      </c>
      <c r="C891" s="429">
        <v>29</v>
      </c>
      <c r="D891" s="429">
        <v>247.5</v>
      </c>
      <c r="E891" s="431">
        <v>4.6100000000000003</v>
      </c>
      <c r="F891" s="431">
        <v>5.22</v>
      </c>
      <c r="G891" s="431">
        <v>6.14</v>
      </c>
      <c r="H891" s="431">
        <v>6.34</v>
      </c>
      <c r="I891" s="431">
        <v>6.12</v>
      </c>
      <c r="J891" s="431">
        <v>5.86</v>
      </c>
      <c r="K891" s="431">
        <v>5.23</v>
      </c>
      <c r="L891" s="431">
        <v>5.13</v>
      </c>
      <c r="M891" s="431">
        <v>5.39</v>
      </c>
      <c r="N891" s="431">
        <v>5.43</v>
      </c>
      <c r="O891" s="431">
        <v>4.9400000000000004</v>
      </c>
      <c r="P891" s="431">
        <v>4.47</v>
      </c>
      <c r="Q891" s="179">
        <f t="shared" si="25"/>
        <v>5.4066666666666663</v>
      </c>
      <c r="R891" s="179" t="s">
        <v>993</v>
      </c>
    </row>
    <row r="892" spans="1:18" x14ac:dyDescent="0.15">
      <c r="A892" s="179" t="str">
        <f t="shared" si="24"/>
        <v>Hermosillo_Optimal Year Round_270</v>
      </c>
      <c r="B892" s="501" t="s">
        <v>1142</v>
      </c>
      <c r="C892" s="429">
        <v>29</v>
      </c>
      <c r="D892" s="429">
        <v>270</v>
      </c>
      <c r="E892" s="431">
        <v>4.22</v>
      </c>
      <c r="F892" s="431">
        <v>4.7699999999999996</v>
      </c>
      <c r="G892" s="431">
        <v>5.62</v>
      </c>
      <c r="H892" s="431">
        <v>5.8</v>
      </c>
      <c r="I892" s="431">
        <v>5.59</v>
      </c>
      <c r="J892" s="431">
        <v>5.36</v>
      </c>
      <c r="K892" s="431">
        <v>4.78</v>
      </c>
      <c r="L892" s="431">
        <v>4.6900000000000004</v>
      </c>
      <c r="M892" s="431">
        <v>4.93</v>
      </c>
      <c r="N892" s="431">
        <v>4.97</v>
      </c>
      <c r="O892" s="431">
        <v>4.5199999999999996</v>
      </c>
      <c r="P892" s="431">
        <v>4.09</v>
      </c>
      <c r="Q892" s="179">
        <f t="shared" si="25"/>
        <v>4.9450000000000003</v>
      </c>
      <c r="R892" s="179" t="s">
        <v>993</v>
      </c>
    </row>
    <row r="893" spans="1:18" x14ac:dyDescent="0.15">
      <c r="A893" s="179" t="str">
        <f t="shared" si="24"/>
        <v>Irapuato_Flat Surface_90</v>
      </c>
      <c r="B893" s="501" t="s">
        <v>1143</v>
      </c>
      <c r="C893" s="429">
        <v>0</v>
      </c>
      <c r="D893" s="429">
        <v>90</v>
      </c>
      <c r="E893" s="431">
        <v>4.87</v>
      </c>
      <c r="F893" s="431">
        <v>5.86</v>
      </c>
      <c r="G893" s="431">
        <v>6.85</v>
      </c>
      <c r="H893" s="431">
        <v>7.06</v>
      </c>
      <c r="I893" s="431">
        <v>6.88</v>
      </c>
      <c r="J893" s="431">
        <v>6.24</v>
      </c>
      <c r="K893" s="431">
        <v>5.98</v>
      </c>
      <c r="L893" s="431">
        <v>5.83</v>
      </c>
      <c r="M893" s="431">
        <v>5.41</v>
      </c>
      <c r="N893" s="431">
        <v>5.32</v>
      </c>
      <c r="O893" s="431">
        <v>5.18</v>
      </c>
      <c r="P893" s="431">
        <v>4.55</v>
      </c>
      <c r="Q893" s="179">
        <f t="shared" si="25"/>
        <v>5.8358333333333325</v>
      </c>
      <c r="R893" s="179" t="s">
        <v>994</v>
      </c>
    </row>
    <row r="894" spans="1:18" x14ac:dyDescent="0.15">
      <c r="A894" s="179" t="str">
        <f t="shared" si="24"/>
        <v>Irapuato_Flat Surface_112.5</v>
      </c>
      <c r="B894" s="501" t="s">
        <v>1143</v>
      </c>
      <c r="C894" s="429">
        <v>0</v>
      </c>
      <c r="D894" s="429">
        <v>112.5</v>
      </c>
      <c r="E894" s="431">
        <v>4.87</v>
      </c>
      <c r="F894" s="431">
        <v>5.86</v>
      </c>
      <c r="G894" s="431">
        <v>6.85</v>
      </c>
      <c r="H894" s="431">
        <v>7.06</v>
      </c>
      <c r="I894" s="431">
        <v>6.88</v>
      </c>
      <c r="J894" s="431">
        <v>6.24</v>
      </c>
      <c r="K894" s="431">
        <v>5.98</v>
      </c>
      <c r="L894" s="431">
        <v>5.83</v>
      </c>
      <c r="M894" s="431">
        <v>5.41</v>
      </c>
      <c r="N894" s="431">
        <v>5.32</v>
      </c>
      <c r="O894" s="431">
        <v>5.18</v>
      </c>
      <c r="P894" s="431">
        <v>4.55</v>
      </c>
      <c r="Q894" s="179">
        <f t="shared" si="25"/>
        <v>5.8358333333333325</v>
      </c>
      <c r="R894" s="179" t="s">
        <v>994</v>
      </c>
    </row>
    <row r="895" spans="1:18" x14ac:dyDescent="0.15">
      <c r="A895" s="179" t="str">
        <f t="shared" si="24"/>
        <v>Irapuato_Flat Surface_135</v>
      </c>
      <c r="B895" s="501" t="s">
        <v>1143</v>
      </c>
      <c r="C895" s="429">
        <v>0</v>
      </c>
      <c r="D895" s="429">
        <v>135</v>
      </c>
      <c r="E895" s="431">
        <v>4.87</v>
      </c>
      <c r="F895" s="431">
        <v>5.86</v>
      </c>
      <c r="G895" s="431">
        <v>6.85</v>
      </c>
      <c r="H895" s="431">
        <v>7.06</v>
      </c>
      <c r="I895" s="431">
        <v>6.88</v>
      </c>
      <c r="J895" s="431">
        <v>6.24</v>
      </c>
      <c r="K895" s="431">
        <v>5.98</v>
      </c>
      <c r="L895" s="431">
        <v>5.83</v>
      </c>
      <c r="M895" s="431">
        <v>5.41</v>
      </c>
      <c r="N895" s="431">
        <v>5.32</v>
      </c>
      <c r="O895" s="431">
        <v>5.18</v>
      </c>
      <c r="P895" s="431">
        <v>4.55</v>
      </c>
      <c r="Q895" s="179">
        <f t="shared" si="25"/>
        <v>5.8358333333333325</v>
      </c>
      <c r="R895" s="179" t="s">
        <v>994</v>
      </c>
    </row>
    <row r="896" spans="1:18" x14ac:dyDescent="0.15">
      <c r="A896" s="179" t="str">
        <f t="shared" si="24"/>
        <v>Irapuato_Flat Surface_157.5</v>
      </c>
      <c r="B896" s="501" t="s">
        <v>1143</v>
      </c>
      <c r="C896" s="429">
        <v>0</v>
      </c>
      <c r="D896" s="429">
        <v>157.5</v>
      </c>
      <c r="E896" s="431">
        <v>4.87</v>
      </c>
      <c r="F896" s="431">
        <v>5.86</v>
      </c>
      <c r="G896" s="431">
        <v>6.85</v>
      </c>
      <c r="H896" s="431">
        <v>7.06</v>
      </c>
      <c r="I896" s="431">
        <v>6.88</v>
      </c>
      <c r="J896" s="431">
        <v>6.24</v>
      </c>
      <c r="K896" s="431">
        <v>5.98</v>
      </c>
      <c r="L896" s="431">
        <v>5.83</v>
      </c>
      <c r="M896" s="431">
        <v>5.41</v>
      </c>
      <c r="N896" s="431">
        <v>5.32</v>
      </c>
      <c r="O896" s="431">
        <v>5.18</v>
      </c>
      <c r="P896" s="431">
        <v>4.55</v>
      </c>
      <c r="Q896" s="179">
        <f t="shared" si="25"/>
        <v>5.8358333333333325</v>
      </c>
      <c r="R896" s="179" t="s">
        <v>994</v>
      </c>
    </row>
    <row r="897" spans="1:18" x14ac:dyDescent="0.15">
      <c r="A897" s="179" t="str">
        <f t="shared" si="24"/>
        <v>Irapuato_Flat Surface_180</v>
      </c>
      <c r="B897" s="501" t="s">
        <v>1143</v>
      </c>
      <c r="C897" s="429">
        <v>0</v>
      </c>
      <c r="D897" s="429">
        <v>180</v>
      </c>
      <c r="E897" s="431">
        <v>4.87</v>
      </c>
      <c r="F897" s="431">
        <v>5.86</v>
      </c>
      <c r="G897" s="431">
        <v>6.85</v>
      </c>
      <c r="H897" s="431">
        <v>7.06</v>
      </c>
      <c r="I897" s="431">
        <v>6.88</v>
      </c>
      <c r="J897" s="431">
        <v>6.24</v>
      </c>
      <c r="K897" s="431">
        <v>5.98</v>
      </c>
      <c r="L897" s="431">
        <v>5.83</v>
      </c>
      <c r="M897" s="431">
        <v>5.41</v>
      </c>
      <c r="N897" s="431">
        <v>5.32</v>
      </c>
      <c r="O897" s="431">
        <v>5.18</v>
      </c>
      <c r="P897" s="431">
        <v>4.55</v>
      </c>
      <c r="Q897" s="179">
        <f t="shared" si="25"/>
        <v>5.8358333333333325</v>
      </c>
      <c r="R897" s="179" t="s">
        <v>994</v>
      </c>
    </row>
    <row r="898" spans="1:18" x14ac:dyDescent="0.15">
      <c r="A898" s="179" t="str">
        <f t="shared" ref="A898:A961" si="26">B898&amp;"_"&amp;R898&amp;"_"&amp;D898</f>
        <v>Irapuato_Flat Surface_202.5</v>
      </c>
      <c r="B898" s="501" t="s">
        <v>1143</v>
      </c>
      <c r="C898" s="429">
        <v>0</v>
      </c>
      <c r="D898" s="429">
        <v>202.5</v>
      </c>
      <c r="E898" s="431">
        <v>4.87</v>
      </c>
      <c r="F898" s="431">
        <v>5.86</v>
      </c>
      <c r="G898" s="431">
        <v>6.85</v>
      </c>
      <c r="H898" s="431">
        <v>7.06</v>
      </c>
      <c r="I898" s="431">
        <v>6.88</v>
      </c>
      <c r="J898" s="431">
        <v>6.24</v>
      </c>
      <c r="K898" s="431">
        <v>5.98</v>
      </c>
      <c r="L898" s="431">
        <v>5.83</v>
      </c>
      <c r="M898" s="431">
        <v>5.41</v>
      </c>
      <c r="N898" s="431">
        <v>5.32</v>
      </c>
      <c r="O898" s="431">
        <v>5.18</v>
      </c>
      <c r="P898" s="431">
        <v>4.55</v>
      </c>
      <c r="Q898" s="179">
        <f t="shared" ref="Q898:Q961" si="27">AVERAGE(E898:P898)</f>
        <v>5.8358333333333325</v>
      </c>
      <c r="R898" s="179" t="s">
        <v>994</v>
      </c>
    </row>
    <row r="899" spans="1:18" x14ac:dyDescent="0.15">
      <c r="A899" s="179" t="str">
        <f t="shared" si="26"/>
        <v>Irapuato_Flat Surface_225</v>
      </c>
      <c r="B899" s="501" t="s">
        <v>1143</v>
      </c>
      <c r="C899" s="429">
        <v>0</v>
      </c>
      <c r="D899" s="429">
        <v>225</v>
      </c>
      <c r="E899" s="431">
        <v>4.87</v>
      </c>
      <c r="F899" s="431">
        <v>5.86</v>
      </c>
      <c r="G899" s="431">
        <v>6.85</v>
      </c>
      <c r="H899" s="431">
        <v>7.06</v>
      </c>
      <c r="I899" s="431">
        <v>6.88</v>
      </c>
      <c r="J899" s="431">
        <v>6.24</v>
      </c>
      <c r="K899" s="431">
        <v>5.98</v>
      </c>
      <c r="L899" s="431">
        <v>5.83</v>
      </c>
      <c r="M899" s="431">
        <v>5.41</v>
      </c>
      <c r="N899" s="431">
        <v>5.32</v>
      </c>
      <c r="O899" s="431">
        <v>5.18</v>
      </c>
      <c r="P899" s="431">
        <v>4.55</v>
      </c>
      <c r="Q899" s="179">
        <f t="shared" si="27"/>
        <v>5.8358333333333325</v>
      </c>
      <c r="R899" s="179" t="s">
        <v>994</v>
      </c>
    </row>
    <row r="900" spans="1:18" x14ac:dyDescent="0.15">
      <c r="A900" s="179" t="str">
        <f t="shared" si="26"/>
        <v>Irapuato_Flat Surface_247.5</v>
      </c>
      <c r="B900" s="501" t="s">
        <v>1143</v>
      </c>
      <c r="C900" s="429">
        <v>0</v>
      </c>
      <c r="D900" s="429">
        <v>247.5</v>
      </c>
      <c r="E900" s="431">
        <v>4.87</v>
      </c>
      <c r="F900" s="431">
        <v>5.86</v>
      </c>
      <c r="G900" s="431">
        <v>6.85</v>
      </c>
      <c r="H900" s="431">
        <v>7.06</v>
      </c>
      <c r="I900" s="431">
        <v>6.88</v>
      </c>
      <c r="J900" s="431">
        <v>6.24</v>
      </c>
      <c r="K900" s="431">
        <v>5.98</v>
      </c>
      <c r="L900" s="431">
        <v>5.83</v>
      </c>
      <c r="M900" s="431">
        <v>5.41</v>
      </c>
      <c r="N900" s="431">
        <v>5.32</v>
      </c>
      <c r="O900" s="431">
        <v>5.18</v>
      </c>
      <c r="P900" s="431">
        <v>4.55</v>
      </c>
      <c r="Q900" s="179">
        <f t="shared" si="27"/>
        <v>5.8358333333333325</v>
      </c>
      <c r="R900" s="179" t="s">
        <v>994</v>
      </c>
    </row>
    <row r="901" spans="1:18" x14ac:dyDescent="0.15">
      <c r="A901" s="179" t="str">
        <f t="shared" si="26"/>
        <v>Irapuato_Flat Surface_270</v>
      </c>
      <c r="B901" s="501" t="s">
        <v>1143</v>
      </c>
      <c r="C901" s="429">
        <v>0</v>
      </c>
      <c r="D901" s="429">
        <v>270</v>
      </c>
      <c r="E901" s="431">
        <v>4.87</v>
      </c>
      <c r="F901" s="431">
        <v>5.86</v>
      </c>
      <c r="G901" s="431">
        <v>6.85</v>
      </c>
      <c r="H901" s="431">
        <v>7.06</v>
      </c>
      <c r="I901" s="431">
        <v>6.88</v>
      </c>
      <c r="J901" s="431">
        <v>6.24</v>
      </c>
      <c r="K901" s="431">
        <v>5.98</v>
      </c>
      <c r="L901" s="431">
        <v>5.83</v>
      </c>
      <c r="M901" s="431">
        <v>5.41</v>
      </c>
      <c r="N901" s="431">
        <v>5.32</v>
      </c>
      <c r="O901" s="431">
        <v>5.18</v>
      </c>
      <c r="P901" s="431">
        <v>4.55</v>
      </c>
      <c r="Q901" s="179">
        <f t="shared" si="27"/>
        <v>5.8358333333333325</v>
      </c>
      <c r="R901" s="179" t="s">
        <v>994</v>
      </c>
    </row>
    <row r="902" spans="1:18" x14ac:dyDescent="0.15">
      <c r="A902" s="179" t="str">
        <f t="shared" si="26"/>
        <v>Irapuato_Optimal Summer_90</v>
      </c>
      <c r="B902" s="501" t="s">
        <v>1143</v>
      </c>
      <c r="C902" s="429">
        <v>6</v>
      </c>
      <c r="D902" s="429">
        <v>90</v>
      </c>
      <c r="E902" s="431">
        <v>4.18</v>
      </c>
      <c r="F902" s="431">
        <v>4.9400000000000004</v>
      </c>
      <c r="G902" s="431">
        <v>5.64</v>
      </c>
      <c r="H902" s="431">
        <v>5.68</v>
      </c>
      <c r="I902" s="431">
        <v>5.45</v>
      </c>
      <c r="J902" s="431">
        <v>5.03</v>
      </c>
      <c r="K902" s="431">
        <v>4.82</v>
      </c>
      <c r="L902" s="431">
        <v>4.66</v>
      </c>
      <c r="M902" s="431">
        <v>4.3899999999999997</v>
      </c>
      <c r="N902" s="431">
        <v>4.42</v>
      </c>
      <c r="O902" s="431">
        <v>4.43</v>
      </c>
      <c r="P902" s="431">
        <v>3.91</v>
      </c>
      <c r="Q902" s="179">
        <f t="shared" si="27"/>
        <v>4.7958333333333343</v>
      </c>
      <c r="R902" s="179" t="s">
        <v>958</v>
      </c>
    </row>
    <row r="903" spans="1:18" x14ac:dyDescent="0.15">
      <c r="A903" s="179" t="str">
        <f t="shared" si="26"/>
        <v>Irapuato_Optimal Summer_112.5</v>
      </c>
      <c r="B903" s="501" t="s">
        <v>1143</v>
      </c>
      <c r="C903" s="429">
        <v>6</v>
      </c>
      <c r="D903" s="429">
        <v>112.5</v>
      </c>
      <c r="E903" s="431">
        <v>4.58</v>
      </c>
      <c r="F903" s="431">
        <v>5.4</v>
      </c>
      <c r="G903" s="431">
        <v>6.17</v>
      </c>
      <c r="H903" s="431">
        <v>6.21</v>
      </c>
      <c r="I903" s="431">
        <v>5.96</v>
      </c>
      <c r="J903" s="431">
        <v>5.5</v>
      </c>
      <c r="K903" s="431">
        <v>5.27</v>
      </c>
      <c r="L903" s="431">
        <v>5.0999999999999996</v>
      </c>
      <c r="M903" s="431">
        <v>4.8</v>
      </c>
      <c r="N903" s="431">
        <v>4.84</v>
      </c>
      <c r="O903" s="431">
        <v>4.8499999999999996</v>
      </c>
      <c r="P903" s="431">
        <v>4.28</v>
      </c>
      <c r="Q903" s="179">
        <f t="shared" si="27"/>
        <v>5.246666666666667</v>
      </c>
      <c r="R903" s="179" t="s">
        <v>958</v>
      </c>
    </row>
    <row r="904" spans="1:18" x14ac:dyDescent="0.15">
      <c r="A904" s="179" t="str">
        <f t="shared" si="26"/>
        <v>Irapuato_Optimal Summer_135</v>
      </c>
      <c r="B904" s="501" t="s">
        <v>1143</v>
      </c>
      <c r="C904" s="429">
        <v>6</v>
      </c>
      <c r="D904" s="429">
        <v>135</v>
      </c>
      <c r="E904" s="431">
        <v>4.97</v>
      </c>
      <c r="F904" s="431">
        <v>5.86</v>
      </c>
      <c r="G904" s="431">
        <v>6.7</v>
      </c>
      <c r="H904" s="431">
        <v>6.74</v>
      </c>
      <c r="I904" s="431">
        <v>6.47</v>
      </c>
      <c r="J904" s="431">
        <v>5.98</v>
      </c>
      <c r="K904" s="431">
        <v>5.72</v>
      </c>
      <c r="L904" s="431">
        <v>5.54</v>
      </c>
      <c r="M904" s="431">
        <v>5.22</v>
      </c>
      <c r="N904" s="431">
        <v>5.25</v>
      </c>
      <c r="O904" s="431">
        <v>5.26</v>
      </c>
      <c r="P904" s="431">
        <v>4.6500000000000004</v>
      </c>
      <c r="Q904" s="179">
        <f t="shared" si="27"/>
        <v>5.6966666666666663</v>
      </c>
      <c r="R904" s="179" t="s">
        <v>958</v>
      </c>
    </row>
    <row r="905" spans="1:18" x14ac:dyDescent="0.15">
      <c r="A905" s="179" t="str">
        <f t="shared" si="26"/>
        <v>Irapuato_Optimal Summer_157.5</v>
      </c>
      <c r="B905" s="501" t="s">
        <v>1143</v>
      </c>
      <c r="C905" s="429">
        <v>6</v>
      </c>
      <c r="D905" s="429">
        <v>157.5</v>
      </c>
      <c r="E905" s="431">
        <v>5.0999999999999996</v>
      </c>
      <c r="F905" s="431">
        <v>6.02</v>
      </c>
      <c r="G905" s="431">
        <v>6.87</v>
      </c>
      <c r="H905" s="431">
        <v>6.92</v>
      </c>
      <c r="I905" s="431">
        <v>6.64</v>
      </c>
      <c r="J905" s="431">
        <v>6.13</v>
      </c>
      <c r="K905" s="431">
        <v>5.87</v>
      </c>
      <c r="L905" s="431">
        <v>5.68</v>
      </c>
      <c r="M905" s="431">
        <v>5.35</v>
      </c>
      <c r="N905" s="431">
        <v>5.39</v>
      </c>
      <c r="O905" s="431">
        <v>5.4</v>
      </c>
      <c r="P905" s="431">
        <v>4.7699999999999996</v>
      </c>
      <c r="Q905" s="179">
        <f t="shared" si="27"/>
        <v>5.8449999999999998</v>
      </c>
      <c r="R905" s="179" t="s">
        <v>958</v>
      </c>
    </row>
    <row r="906" spans="1:18" x14ac:dyDescent="0.15">
      <c r="A906" s="179" t="str">
        <f t="shared" si="26"/>
        <v>Irapuato_Optimal Summer_180</v>
      </c>
      <c r="B906" s="501" t="s">
        <v>1143</v>
      </c>
      <c r="C906" s="429">
        <v>6</v>
      </c>
      <c r="D906" s="429">
        <v>180</v>
      </c>
      <c r="E906" s="431">
        <v>5.23</v>
      </c>
      <c r="F906" s="431">
        <v>6.17</v>
      </c>
      <c r="G906" s="431">
        <v>7.05</v>
      </c>
      <c r="H906" s="431">
        <v>7.1</v>
      </c>
      <c r="I906" s="431">
        <v>6.81</v>
      </c>
      <c r="J906" s="431">
        <v>6.29</v>
      </c>
      <c r="K906" s="431">
        <v>6.02</v>
      </c>
      <c r="L906" s="431">
        <v>5.83</v>
      </c>
      <c r="M906" s="431">
        <v>5.49</v>
      </c>
      <c r="N906" s="431">
        <v>5.53</v>
      </c>
      <c r="O906" s="431">
        <v>5.54</v>
      </c>
      <c r="P906" s="431">
        <v>4.8899999999999997</v>
      </c>
      <c r="Q906" s="179">
        <f t="shared" si="27"/>
        <v>5.9958333333333336</v>
      </c>
      <c r="R906" s="179" t="s">
        <v>958</v>
      </c>
    </row>
    <row r="907" spans="1:18" x14ac:dyDescent="0.15">
      <c r="A907" s="179" t="str">
        <f t="shared" si="26"/>
        <v>Irapuato_Optimal Summer_202.5</v>
      </c>
      <c r="B907" s="501" t="s">
        <v>1143</v>
      </c>
      <c r="C907" s="429">
        <v>6</v>
      </c>
      <c r="D907" s="429">
        <v>202.5</v>
      </c>
      <c r="E907" s="431">
        <v>5.0999999999999996</v>
      </c>
      <c r="F907" s="431">
        <v>6.02</v>
      </c>
      <c r="G907" s="431">
        <v>6.87</v>
      </c>
      <c r="H907" s="431">
        <v>6.92</v>
      </c>
      <c r="I907" s="431">
        <v>6.64</v>
      </c>
      <c r="J907" s="431">
        <v>6.13</v>
      </c>
      <c r="K907" s="431">
        <v>5.87</v>
      </c>
      <c r="L907" s="431">
        <v>5.68</v>
      </c>
      <c r="M907" s="431">
        <v>5.35</v>
      </c>
      <c r="N907" s="431">
        <v>5.39</v>
      </c>
      <c r="O907" s="431">
        <v>5.4</v>
      </c>
      <c r="P907" s="431">
        <v>4.7699999999999996</v>
      </c>
      <c r="Q907" s="179">
        <f t="shared" si="27"/>
        <v>5.8449999999999998</v>
      </c>
      <c r="R907" s="179" t="s">
        <v>958</v>
      </c>
    </row>
    <row r="908" spans="1:18" x14ac:dyDescent="0.15">
      <c r="A908" s="179" t="str">
        <f t="shared" si="26"/>
        <v>Irapuato_Optimal Summer_225</v>
      </c>
      <c r="B908" s="501" t="s">
        <v>1143</v>
      </c>
      <c r="C908" s="429">
        <v>6</v>
      </c>
      <c r="D908" s="429">
        <v>225</v>
      </c>
      <c r="E908" s="431">
        <v>4.97</v>
      </c>
      <c r="F908" s="431">
        <v>5.86</v>
      </c>
      <c r="G908" s="431">
        <v>6.7</v>
      </c>
      <c r="H908" s="431">
        <v>6.74</v>
      </c>
      <c r="I908" s="431">
        <v>6.47</v>
      </c>
      <c r="J908" s="431">
        <v>5.98</v>
      </c>
      <c r="K908" s="431">
        <v>5.72</v>
      </c>
      <c r="L908" s="431">
        <v>5.54</v>
      </c>
      <c r="M908" s="431">
        <v>5.22</v>
      </c>
      <c r="N908" s="431">
        <v>5.25</v>
      </c>
      <c r="O908" s="431">
        <v>5.26</v>
      </c>
      <c r="P908" s="431">
        <v>4.6500000000000004</v>
      </c>
      <c r="Q908" s="179">
        <f t="shared" si="27"/>
        <v>5.6966666666666663</v>
      </c>
      <c r="R908" s="179" t="s">
        <v>958</v>
      </c>
    </row>
    <row r="909" spans="1:18" x14ac:dyDescent="0.15">
      <c r="A909" s="179" t="str">
        <f t="shared" si="26"/>
        <v>Irapuato_Optimal Summer_247.5</v>
      </c>
      <c r="B909" s="501" t="s">
        <v>1143</v>
      </c>
      <c r="C909" s="429">
        <v>6</v>
      </c>
      <c r="D909" s="429">
        <v>247.5</v>
      </c>
      <c r="E909" s="431">
        <v>4.58</v>
      </c>
      <c r="F909" s="431">
        <v>5.4</v>
      </c>
      <c r="G909" s="431">
        <v>6.17</v>
      </c>
      <c r="H909" s="431">
        <v>6.21</v>
      </c>
      <c r="I909" s="431">
        <v>5.96</v>
      </c>
      <c r="J909" s="431">
        <v>5.5</v>
      </c>
      <c r="K909" s="431">
        <v>5.27</v>
      </c>
      <c r="L909" s="431">
        <v>5.0999999999999996</v>
      </c>
      <c r="M909" s="431">
        <v>4.8</v>
      </c>
      <c r="N909" s="431">
        <v>4.84</v>
      </c>
      <c r="O909" s="431">
        <v>4.8499999999999996</v>
      </c>
      <c r="P909" s="431">
        <v>4.28</v>
      </c>
      <c r="Q909" s="179">
        <f t="shared" si="27"/>
        <v>5.246666666666667</v>
      </c>
      <c r="R909" s="179" t="s">
        <v>958</v>
      </c>
    </row>
    <row r="910" spans="1:18" x14ac:dyDescent="0.15">
      <c r="A910" s="179" t="str">
        <f t="shared" si="26"/>
        <v>Irapuato_Optimal Summer_270</v>
      </c>
      <c r="B910" s="501" t="s">
        <v>1143</v>
      </c>
      <c r="C910" s="429">
        <v>6</v>
      </c>
      <c r="D910" s="429">
        <v>270</v>
      </c>
      <c r="E910" s="431">
        <v>4.18</v>
      </c>
      <c r="F910" s="431">
        <v>4.9400000000000004</v>
      </c>
      <c r="G910" s="431">
        <v>5.64</v>
      </c>
      <c r="H910" s="431">
        <v>5.68</v>
      </c>
      <c r="I910" s="431">
        <v>5.45</v>
      </c>
      <c r="J910" s="431">
        <v>5.03</v>
      </c>
      <c r="K910" s="431">
        <v>4.82</v>
      </c>
      <c r="L910" s="431">
        <v>4.66</v>
      </c>
      <c r="M910" s="431">
        <v>4.3899999999999997</v>
      </c>
      <c r="N910" s="431">
        <v>4.42</v>
      </c>
      <c r="O910" s="431">
        <v>4.43</v>
      </c>
      <c r="P910" s="431">
        <v>3.91</v>
      </c>
      <c r="Q910" s="179">
        <f t="shared" si="27"/>
        <v>4.7958333333333343</v>
      </c>
      <c r="R910" s="179" t="s">
        <v>958</v>
      </c>
    </row>
    <row r="911" spans="1:18" x14ac:dyDescent="0.15">
      <c r="A911" s="179" t="str">
        <f t="shared" si="26"/>
        <v>Irapuato_Optimal Year Round_90</v>
      </c>
      <c r="B911" s="501" t="s">
        <v>1143</v>
      </c>
      <c r="C911" s="429">
        <v>21</v>
      </c>
      <c r="D911" s="429">
        <v>90</v>
      </c>
      <c r="E911" s="431">
        <v>4.88</v>
      </c>
      <c r="F911" s="431">
        <v>5.48</v>
      </c>
      <c r="G911" s="431">
        <v>5.9</v>
      </c>
      <c r="H911" s="431">
        <v>5.58</v>
      </c>
      <c r="I911" s="431">
        <v>5.0999999999999996</v>
      </c>
      <c r="J911" s="431">
        <v>5</v>
      </c>
      <c r="K911" s="431">
        <v>4.74</v>
      </c>
      <c r="L911" s="431">
        <v>4.51</v>
      </c>
      <c r="M911" s="431">
        <v>4.45</v>
      </c>
      <c r="N911" s="431">
        <v>4.75</v>
      </c>
      <c r="O911" s="431">
        <v>5.0999999999999996</v>
      </c>
      <c r="P911" s="431">
        <v>4.58</v>
      </c>
      <c r="Q911" s="179">
        <f t="shared" si="27"/>
        <v>5.0058333333333334</v>
      </c>
      <c r="R911" s="179" t="s">
        <v>993</v>
      </c>
    </row>
    <row r="912" spans="1:18" x14ac:dyDescent="0.15">
      <c r="A912" s="179" t="str">
        <f t="shared" si="26"/>
        <v>Irapuato_Optimal Year Round_112.5</v>
      </c>
      <c r="B912" s="501" t="s">
        <v>1143</v>
      </c>
      <c r="C912" s="429">
        <v>21</v>
      </c>
      <c r="D912" s="429">
        <v>112.5</v>
      </c>
      <c r="E912" s="431">
        <v>5.34</v>
      </c>
      <c r="F912" s="431">
        <v>5.99</v>
      </c>
      <c r="G912" s="431">
        <v>6.45</v>
      </c>
      <c r="H912" s="431">
        <v>6.11</v>
      </c>
      <c r="I912" s="431">
        <v>5.57</v>
      </c>
      <c r="J912" s="431">
        <v>5.47</v>
      </c>
      <c r="K912" s="431">
        <v>5.19</v>
      </c>
      <c r="L912" s="431">
        <v>4.9400000000000004</v>
      </c>
      <c r="M912" s="431">
        <v>4.8600000000000003</v>
      </c>
      <c r="N912" s="431">
        <v>5.2</v>
      </c>
      <c r="O912" s="431">
        <v>5.58</v>
      </c>
      <c r="P912" s="431">
        <v>5.01</v>
      </c>
      <c r="Q912" s="179">
        <f t="shared" si="27"/>
        <v>5.4758333333333331</v>
      </c>
      <c r="R912" s="179" t="s">
        <v>993</v>
      </c>
    </row>
    <row r="913" spans="1:18" x14ac:dyDescent="0.15">
      <c r="A913" s="179" t="str">
        <f t="shared" si="26"/>
        <v>Irapuato_Optimal Year Round_135</v>
      </c>
      <c r="B913" s="501" t="s">
        <v>1143</v>
      </c>
      <c r="C913" s="429">
        <v>21</v>
      </c>
      <c r="D913" s="429">
        <v>135</v>
      </c>
      <c r="E913" s="431">
        <v>5.8</v>
      </c>
      <c r="F913" s="431">
        <v>6.51</v>
      </c>
      <c r="G913" s="431">
        <v>7</v>
      </c>
      <c r="H913" s="431">
        <v>6.63</v>
      </c>
      <c r="I913" s="431">
        <v>6.05</v>
      </c>
      <c r="J913" s="431">
        <v>5.94</v>
      </c>
      <c r="K913" s="431">
        <v>5.63</v>
      </c>
      <c r="L913" s="431">
        <v>5.36</v>
      </c>
      <c r="M913" s="431">
        <v>5.28</v>
      </c>
      <c r="N913" s="431">
        <v>5.64</v>
      </c>
      <c r="O913" s="431">
        <v>6.06</v>
      </c>
      <c r="P913" s="431">
        <v>5.44</v>
      </c>
      <c r="Q913" s="179">
        <f t="shared" si="27"/>
        <v>5.9450000000000003</v>
      </c>
      <c r="R913" s="179" t="s">
        <v>993</v>
      </c>
    </row>
    <row r="914" spans="1:18" x14ac:dyDescent="0.15">
      <c r="A914" s="179" t="str">
        <f t="shared" si="26"/>
        <v>Irapuato_Optimal Year Round_157.5</v>
      </c>
      <c r="B914" s="501" t="s">
        <v>1143</v>
      </c>
      <c r="C914" s="429">
        <v>21</v>
      </c>
      <c r="D914" s="429">
        <v>157.5</v>
      </c>
      <c r="E914" s="431">
        <v>5.95</v>
      </c>
      <c r="F914" s="431">
        <v>6.68</v>
      </c>
      <c r="G914" s="431">
        <v>7.19</v>
      </c>
      <c r="H914" s="431">
        <v>6.81</v>
      </c>
      <c r="I914" s="431">
        <v>6.21</v>
      </c>
      <c r="J914" s="431">
        <v>6.09</v>
      </c>
      <c r="K914" s="431">
        <v>5.78</v>
      </c>
      <c r="L914" s="431">
        <v>5.5</v>
      </c>
      <c r="M914" s="431">
        <v>5.42</v>
      </c>
      <c r="N914" s="431">
        <v>5.79</v>
      </c>
      <c r="O914" s="431">
        <v>6.22</v>
      </c>
      <c r="P914" s="431">
        <v>5.59</v>
      </c>
      <c r="Q914" s="179">
        <f t="shared" si="27"/>
        <v>6.1025</v>
      </c>
      <c r="R914" s="179" t="s">
        <v>993</v>
      </c>
    </row>
    <row r="915" spans="1:18" x14ac:dyDescent="0.15">
      <c r="A915" s="179" t="str">
        <f t="shared" si="26"/>
        <v>Irapuato_Optimal Year Round_180</v>
      </c>
      <c r="B915" s="501" t="s">
        <v>1143</v>
      </c>
      <c r="C915" s="429">
        <v>21</v>
      </c>
      <c r="D915" s="429">
        <v>180</v>
      </c>
      <c r="E915" s="431">
        <v>6.1</v>
      </c>
      <c r="F915" s="431">
        <v>6.85</v>
      </c>
      <c r="G915" s="431">
        <v>7.37</v>
      </c>
      <c r="H915" s="431">
        <v>6.98</v>
      </c>
      <c r="I915" s="431">
        <v>6.37</v>
      </c>
      <c r="J915" s="431">
        <v>6.25</v>
      </c>
      <c r="K915" s="431">
        <v>5.93</v>
      </c>
      <c r="L915" s="431">
        <v>5.64</v>
      </c>
      <c r="M915" s="431">
        <v>5.56</v>
      </c>
      <c r="N915" s="431">
        <v>5.94</v>
      </c>
      <c r="O915" s="431">
        <v>6.38</v>
      </c>
      <c r="P915" s="431">
        <v>5.73</v>
      </c>
      <c r="Q915" s="179">
        <f t="shared" si="27"/>
        <v>6.2583333333333337</v>
      </c>
      <c r="R915" s="179" t="s">
        <v>993</v>
      </c>
    </row>
    <row r="916" spans="1:18" x14ac:dyDescent="0.15">
      <c r="A916" s="179" t="str">
        <f t="shared" si="26"/>
        <v>Irapuato_Optimal Year Round_202.5</v>
      </c>
      <c r="B916" s="501" t="s">
        <v>1143</v>
      </c>
      <c r="C916" s="429">
        <v>21</v>
      </c>
      <c r="D916" s="429">
        <v>202.5</v>
      </c>
      <c r="E916" s="431">
        <v>5.95</v>
      </c>
      <c r="F916" s="431">
        <v>6.68</v>
      </c>
      <c r="G916" s="431">
        <v>7.19</v>
      </c>
      <c r="H916" s="431">
        <v>6.81</v>
      </c>
      <c r="I916" s="431">
        <v>6.21</v>
      </c>
      <c r="J916" s="431">
        <v>6.09</v>
      </c>
      <c r="K916" s="431">
        <v>5.78</v>
      </c>
      <c r="L916" s="431">
        <v>5.5</v>
      </c>
      <c r="M916" s="431">
        <v>5.42</v>
      </c>
      <c r="N916" s="431">
        <v>5.79</v>
      </c>
      <c r="O916" s="431">
        <v>6.22</v>
      </c>
      <c r="P916" s="431">
        <v>5.59</v>
      </c>
      <c r="Q916" s="179">
        <f t="shared" si="27"/>
        <v>6.1025</v>
      </c>
      <c r="R916" s="179" t="s">
        <v>993</v>
      </c>
    </row>
    <row r="917" spans="1:18" x14ac:dyDescent="0.15">
      <c r="A917" s="179" t="str">
        <f t="shared" si="26"/>
        <v>Irapuato_Optimal Year Round_225</v>
      </c>
      <c r="B917" s="501" t="s">
        <v>1143</v>
      </c>
      <c r="C917" s="429">
        <v>21</v>
      </c>
      <c r="D917" s="429">
        <v>225</v>
      </c>
      <c r="E917" s="431">
        <v>5.8</v>
      </c>
      <c r="F917" s="431">
        <v>6.51</v>
      </c>
      <c r="G917" s="431">
        <v>7</v>
      </c>
      <c r="H917" s="431">
        <v>6.63</v>
      </c>
      <c r="I917" s="431">
        <v>6.05</v>
      </c>
      <c r="J917" s="431">
        <v>5.94</v>
      </c>
      <c r="K917" s="431">
        <v>5.63</v>
      </c>
      <c r="L917" s="431">
        <v>5.36</v>
      </c>
      <c r="M917" s="431">
        <v>5.28</v>
      </c>
      <c r="N917" s="431">
        <v>5.64</v>
      </c>
      <c r="O917" s="431">
        <v>6.06</v>
      </c>
      <c r="P917" s="431">
        <v>5.44</v>
      </c>
      <c r="Q917" s="179">
        <f t="shared" si="27"/>
        <v>5.9450000000000003</v>
      </c>
      <c r="R917" s="179" t="s">
        <v>993</v>
      </c>
    </row>
    <row r="918" spans="1:18" x14ac:dyDescent="0.15">
      <c r="A918" s="179" t="str">
        <f t="shared" si="26"/>
        <v>Irapuato_Optimal Year Round_247.5</v>
      </c>
      <c r="B918" s="501" t="s">
        <v>1143</v>
      </c>
      <c r="C918" s="429">
        <v>21</v>
      </c>
      <c r="D918" s="429">
        <v>247.5</v>
      </c>
      <c r="E918" s="431">
        <v>5.34</v>
      </c>
      <c r="F918" s="431">
        <v>5.99</v>
      </c>
      <c r="G918" s="431">
        <v>6.45</v>
      </c>
      <c r="H918" s="431">
        <v>6.11</v>
      </c>
      <c r="I918" s="431">
        <v>5.57</v>
      </c>
      <c r="J918" s="431">
        <v>5.47</v>
      </c>
      <c r="K918" s="431">
        <v>5.19</v>
      </c>
      <c r="L918" s="431">
        <v>4.9400000000000004</v>
      </c>
      <c r="M918" s="431">
        <v>4.8600000000000003</v>
      </c>
      <c r="N918" s="431">
        <v>5.2</v>
      </c>
      <c r="O918" s="431">
        <v>5.58</v>
      </c>
      <c r="P918" s="431">
        <v>5.01</v>
      </c>
      <c r="Q918" s="179">
        <f t="shared" si="27"/>
        <v>5.4758333333333331</v>
      </c>
      <c r="R918" s="179" t="s">
        <v>993</v>
      </c>
    </row>
    <row r="919" spans="1:18" x14ac:dyDescent="0.15">
      <c r="A919" s="179" t="str">
        <f t="shared" si="26"/>
        <v>Irapuato_Optimal Year Round_270</v>
      </c>
      <c r="B919" s="501" t="s">
        <v>1143</v>
      </c>
      <c r="C919" s="429">
        <v>21</v>
      </c>
      <c r="D919" s="429">
        <v>270</v>
      </c>
      <c r="E919" s="431">
        <v>4.88</v>
      </c>
      <c r="F919" s="431">
        <v>5.48</v>
      </c>
      <c r="G919" s="431">
        <v>5.9</v>
      </c>
      <c r="H919" s="431">
        <v>5.58</v>
      </c>
      <c r="I919" s="431">
        <v>5.0999999999999996</v>
      </c>
      <c r="J919" s="431">
        <v>5</v>
      </c>
      <c r="K919" s="431">
        <v>4.74</v>
      </c>
      <c r="L919" s="431">
        <v>4.51</v>
      </c>
      <c r="M919" s="431">
        <v>4.45</v>
      </c>
      <c r="N919" s="431">
        <v>4.75</v>
      </c>
      <c r="O919" s="431">
        <v>5.0999999999999996</v>
      </c>
      <c r="P919" s="431">
        <v>4.58</v>
      </c>
      <c r="Q919" s="179">
        <f t="shared" si="27"/>
        <v>5.0058333333333334</v>
      </c>
      <c r="R919" s="179" t="s">
        <v>993</v>
      </c>
    </row>
    <row r="920" spans="1:18" x14ac:dyDescent="0.15">
      <c r="A920" s="179" t="str">
        <f t="shared" si="26"/>
        <v>Ixtapaluca_Flat Surface_90</v>
      </c>
      <c r="B920" s="501" t="s">
        <v>1144</v>
      </c>
      <c r="C920" s="429">
        <v>0</v>
      </c>
      <c r="D920" s="429">
        <v>90</v>
      </c>
      <c r="E920" s="431">
        <v>4.6900000000000004</v>
      </c>
      <c r="F920" s="431">
        <v>5.45</v>
      </c>
      <c r="G920" s="431">
        <v>6.13</v>
      </c>
      <c r="H920" s="431">
        <v>6.1</v>
      </c>
      <c r="I920" s="431">
        <v>6.13</v>
      </c>
      <c r="J920" s="431">
        <v>5.61</v>
      </c>
      <c r="K920" s="431">
        <v>5.64</v>
      </c>
      <c r="L920" s="431">
        <v>5.46</v>
      </c>
      <c r="M920" s="431">
        <v>4.88</v>
      </c>
      <c r="N920" s="431">
        <v>4.8899999999999997</v>
      </c>
      <c r="O920" s="431">
        <v>4.75</v>
      </c>
      <c r="P920" s="431">
        <v>4.34</v>
      </c>
      <c r="Q920" s="179">
        <f t="shared" si="27"/>
        <v>5.3391666666666673</v>
      </c>
      <c r="R920" s="179" t="s">
        <v>994</v>
      </c>
    </row>
    <row r="921" spans="1:18" x14ac:dyDescent="0.15">
      <c r="A921" s="179" t="str">
        <f t="shared" si="26"/>
        <v>Ixtapaluca_Flat Surface_112.5</v>
      </c>
      <c r="B921" s="501" t="s">
        <v>1144</v>
      </c>
      <c r="C921" s="429">
        <v>0</v>
      </c>
      <c r="D921" s="429">
        <v>112.5</v>
      </c>
      <c r="E921" s="431">
        <v>4.6900000000000004</v>
      </c>
      <c r="F921" s="431">
        <v>5.45</v>
      </c>
      <c r="G921" s="431">
        <v>6.13</v>
      </c>
      <c r="H921" s="431">
        <v>6.1</v>
      </c>
      <c r="I921" s="431">
        <v>6.13</v>
      </c>
      <c r="J921" s="431">
        <v>5.61</v>
      </c>
      <c r="K921" s="431">
        <v>5.64</v>
      </c>
      <c r="L921" s="431">
        <v>5.46</v>
      </c>
      <c r="M921" s="431">
        <v>4.88</v>
      </c>
      <c r="N921" s="431">
        <v>4.8899999999999997</v>
      </c>
      <c r="O921" s="431">
        <v>4.75</v>
      </c>
      <c r="P921" s="431">
        <v>4.34</v>
      </c>
      <c r="Q921" s="179">
        <f t="shared" si="27"/>
        <v>5.3391666666666673</v>
      </c>
      <c r="R921" s="179" t="s">
        <v>994</v>
      </c>
    </row>
    <row r="922" spans="1:18" x14ac:dyDescent="0.15">
      <c r="A922" s="179" t="str">
        <f t="shared" si="26"/>
        <v>Ixtapaluca_Flat Surface_135</v>
      </c>
      <c r="B922" s="501" t="s">
        <v>1144</v>
      </c>
      <c r="C922" s="429">
        <v>0</v>
      </c>
      <c r="D922" s="429">
        <v>135</v>
      </c>
      <c r="E922" s="431">
        <v>4.6900000000000004</v>
      </c>
      <c r="F922" s="431">
        <v>5.45</v>
      </c>
      <c r="G922" s="431">
        <v>6.13</v>
      </c>
      <c r="H922" s="431">
        <v>6.1</v>
      </c>
      <c r="I922" s="431">
        <v>6.13</v>
      </c>
      <c r="J922" s="431">
        <v>5.61</v>
      </c>
      <c r="K922" s="431">
        <v>5.64</v>
      </c>
      <c r="L922" s="431">
        <v>5.46</v>
      </c>
      <c r="M922" s="431">
        <v>4.88</v>
      </c>
      <c r="N922" s="431">
        <v>4.8899999999999997</v>
      </c>
      <c r="O922" s="431">
        <v>4.75</v>
      </c>
      <c r="P922" s="431">
        <v>4.34</v>
      </c>
      <c r="Q922" s="179">
        <f t="shared" si="27"/>
        <v>5.3391666666666673</v>
      </c>
      <c r="R922" s="179" t="s">
        <v>994</v>
      </c>
    </row>
    <row r="923" spans="1:18" x14ac:dyDescent="0.15">
      <c r="A923" s="179" t="str">
        <f t="shared" si="26"/>
        <v>Ixtapaluca_Flat Surface_157.5</v>
      </c>
      <c r="B923" s="501" t="s">
        <v>1144</v>
      </c>
      <c r="C923" s="429">
        <v>0</v>
      </c>
      <c r="D923" s="429">
        <v>157.5</v>
      </c>
      <c r="E923" s="431">
        <v>4.6900000000000004</v>
      </c>
      <c r="F923" s="431">
        <v>5.45</v>
      </c>
      <c r="G923" s="431">
        <v>6.13</v>
      </c>
      <c r="H923" s="431">
        <v>6.1</v>
      </c>
      <c r="I923" s="431">
        <v>6.13</v>
      </c>
      <c r="J923" s="431">
        <v>5.61</v>
      </c>
      <c r="K923" s="431">
        <v>5.64</v>
      </c>
      <c r="L923" s="431">
        <v>5.46</v>
      </c>
      <c r="M923" s="431">
        <v>4.88</v>
      </c>
      <c r="N923" s="431">
        <v>4.8899999999999997</v>
      </c>
      <c r="O923" s="431">
        <v>4.75</v>
      </c>
      <c r="P923" s="431">
        <v>4.34</v>
      </c>
      <c r="Q923" s="179">
        <f t="shared" si="27"/>
        <v>5.3391666666666673</v>
      </c>
      <c r="R923" s="179" t="s">
        <v>994</v>
      </c>
    </row>
    <row r="924" spans="1:18" x14ac:dyDescent="0.15">
      <c r="A924" s="179" t="str">
        <f t="shared" si="26"/>
        <v>Ixtapaluca_Flat Surface_180</v>
      </c>
      <c r="B924" s="501" t="s">
        <v>1144</v>
      </c>
      <c r="C924" s="429">
        <v>0</v>
      </c>
      <c r="D924" s="429">
        <v>180</v>
      </c>
      <c r="E924" s="431">
        <v>4.6900000000000004</v>
      </c>
      <c r="F924" s="431">
        <v>5.45</v>
      </c>
      <c r="G924" s="431">
        <v>6.13</v>
      </c>
      <c r="H924" s="431">
        <v>6.1</v>
      </c>
      <c r="I924" s="431">
        <v>6.13</v>
      </c>
      <c r="J924" s="431">
        <v>5.61</v>
      </c>
      <c r="K924" s="431">
        <v>5.64</v>
      </c>
      <c r="L924" s="431">
        <v>5.46</v>
      </c>
      <c r="M924" s="431">
        <v>4.88</v>
      </c>
      <c r="N924" s="431">
        <v>4.8899999999999997</v>
      </c>
      <c r="O924" s="431">
        <v>4.75</v>
      </c>
      <c r="P924" s="431">
        <v>4.34</v>
      </c>
      <c r="Q924" s="179">
        <f t="shared" si="27"/>
        <v>5.3391666666666673</v>
      </c>
      <c r="R924" s="179" t="s">
        <v>994</v>
      </c>
    </row>
    <row r="925" spans="1:18" x14ac:dyDescent="0.15">
      <c r="A925" s="179" t="str">
        <f t="shared" si="26"/>
        <v>Ixtapaluca_Flat Surface_202.5</v>
      </c>
      <c r="B925" s="501" t="s">
        <v>1144</v>
      </c>
      <c r="C925" s="429">
        <v>0</v>
      </c>
      <c r="D925" s="429">
        <v>202.5</v>
      </c>
      <c r="E925" s="431">
        <v>4.6900000000000004</v>
      </c>
      <c r="F925" s="431">
        <v>5.45</v>
      </c>
      <c r="G925" s="431">
        <v>6.13</v>
      </c>
      <c r="H925" s="431">
        <v>6.1</v>
      </c>
      <c r="I925" s="431">
        <v>6.13</v>
      </c>
      <c r="J925" s="431">
        <v>5.61</v>
      </c>
      <c r="K925" s="431">
        <v>5.64</v>
      </c>
      <c r="L925" s="431">
        <v>5.46</v>
      </c>
      <c r="M925" s="431">
        <v>4.88</v>
      </c>
      <c r="N925" s="431">
        <v>4.8899999999999997</v>
      </c>
      <c r="O925" s="431">
        <v>4.75</v>
      </c>
      <c r="P925" s="431">
        <v>4.34</v>
      </c>
      <c r="Q925" s="179">
        <f t="shared" si="27"/>
        <v>5.3391666666666673</v>
      </c>
      <c r="R925" s="179" t="s">
        <v>994</v>
      </c>
    </row>
    <row r="926" spans="1:18" x14ac:dyDescent="0.15">
      <c r="A926" s="179" t="str">
        <f t="shared" si="26"/>
        <v>Ixtapaluca_Flat Surface_225</v>
      </c>
      <c r="B926" s="501" t="s">
        <v>1144</v>
      </c>
      <c r="C926" s="429">
        <v>0</v>
      </c>
      <c r="D926" s="429">
        <v>225</v>
      </c>
      <c r="E926" s="431">
        <v>4.6900000000000004</v>
      </c>
      <c r="F926" s="431">
        <v>5.45</v>
      </c>
      <c r="G926" s="431">
        <v>6.13</v>
      </c>
      <c r="H926" s="431">
        <v>6.1</v>
      </c>
      <c r="I926" s="431">
        <v>6.13</v>
      </c>
      <c r="J926" s="431">
        <v>5.61</v>
      </c>
      <c r="K926" s="431">
        <v>5.64</v>
      </c>
      <c r="L926" s="431">
        <v>5.46</v>
      </c>
      <c r="M926" s="431">
        <v>4.88</v>
      </c>
      <c r="N926" s="431">
        <v>4.8899999999999997</v>
      </c>
      <c r="O926" s="431">
        <v>4.75</v>
      </c>
      <c r="P926" s="431">
        <v>4.34</v>
      </c>
      <c r="Q926" s="179">
        <f t="shared" si="27"/>
        <v>5.3391666666666673</v>
      </c>
      <c r="R926" s="179" t="s">
        <v>994</v>
      </c>
    </row>
    <row r="927" spans="1:18" x14ac:dyDescent="0.15">
      <c r="A927" s="179" t="str">
        <f t="shared" si="26"/>
        <v>Ixtapaluca_Flat Surface_247.5</v>
      </c>
      <c r="B927" s="501" t="s">
        <v>1144</v>
      </c>
      <c r="C927" s="429">
        <v>0</v>
      </c>
      <c r="D927" s="429">
        <v>247.5</v>
      </c>
      <c r="E927" s="431">
        <v>4.6900000000000004</v>
      </c>
      <c r="F927" s="431">
        <v>5.45</v>
      </c>
      <c r="G927" s="431">
        <v>6.13</v>
      </c>
      <c r="H927" s="431">
        <v>6.1</v>
      </c>
      <c r="I927" s="431">
        <v>6.13</v>
      </c>
      <c r="J927" s="431">
        <v>5.61</v>
      </c>
      <c r="K927" s="431">
        <v>5.64</v>
      </c>
      <c r="L927" s="431">
        <v>5.46</v>
      </c>
      <c r="M927" s="431">
        <v>4.88</v>
      </c>
      <c r="N927" s="431">
        <v>4.8899999999999997</v>
      </c>
      <c r="O927" s="431">
        <v>4.75</v>
      </c>
      <c r="P927" s="431">
        <v>4.34</v>
      </c>
      <c r="Q927" s="179">
        <f t="shared" si="27"/>
        <v>5.3391666666666673</v>
      </c>
      <c r="R927" s="179" t="s">
        <v>994</v>
      </c>
    </row>
    <row r="928" spans="1:18" x14ac:dyDescent="0.15">
      <c r="A928" s="179" t="str">
        <f t="shared" si="26"/>
        <v>Ixtapaluca_Flat Surface_270</v>
      </c>
      <c r="B928" s="501" t="s">
        <v>1144</v>
      </c>
      <c r="C928" s="429">
        <v>0</v>
      </c>
      <c r="D928" s="429">
        <v>270</v>
      </c>
      <c r="E928" s="431">
        <v>4.6900000000000004</v>
      </c>
      <c r="F928" s="431">
        <v>5.45</v>
      </c>
      <c r="G928" s="431">
        <v>6.13</v>
      </c>
      <c r="H928" s="431">
        <v>6.1</v>
      </c>
      <c r="I928" s="431">
        <v>6.13</v>
      </c>
      <c r="J928" s="431">
        <v>5.61</v>
      </c>
      <c r="K928" s="431">
        <v>5.64</v>
      </c>
      <c r="L928" s="431">
        <v>5.46</v>
      </c>
      <c r="M928" s="431">
        <v>4.88</v>
      </c>
      <c r="N928" s="431">
        <v>4.8899999999999997</v>
      </c>
      <c r="O928" s="431">
        <v>4.75</v>
      </c>
      <c r="P928" s="431">
        <v>4.34</v>
      </c>
      <c r="Q928" s="179">
        <f t="shared" si="27"/>
        <v>5.3391666666666673</v>
      </c>
      <c r="R928" s="179" t="s">
        <v>994</v>
      </c>
    </row>
    <row r="929" spans="1:18" x14ac:dyDescent="0.15">
      <c r="A929" s="179" t="str">
        <f t="shared" si="26"/>
        <v>Ixtapaluca_Optimal Summer_90</v>
      </c>
      <c r="B929" s="501" t="s">
        <v>1144</v>
      </c>
      <c r="C929" s="429">
        <v>4</v>
      </c>
      <c r="D929" s="429">
        <v>90</v>
      </c>
      <c r="E929" s="431">
        <v>3.95</v>
      </c>
      <c r="F929" s="431">
        <v>4.5199999999999996</v>
      </c>
      <c r="G929" s="431">
        <v>5</v>
      </c>
      <c r="H929" s="431">
        <v>4.9000000000000004</v>
      </c>
      <c r="I929" s="431">
        <v>4.8600000000000003</v>
      </c>
      <c r="J929" s="431">
        <v>4.5199999999999996</v>
      </c>
      <c r="K929" s="431">
        <v>4.54</v>
      </c>
      <c r="L929" s="431">
        <v>4.3600000000000003</v>
      </c>
      <c r="M929" s="431">
        <v>3.94</v>
      </c>
      <c r="N929" s="431">
        <v>4.0199999999999996</v>
      </c>
      <c r="O929" s="431">
        <v>3.98</v>
      </c>
      <c r="P929" s="431">
        <v>3.66</v>
      </c>
      <c r="Q929" s="179">
        <f t="shared" si="27"/>
        <v>4.354166666666667</v>
      </c>
      <c r="R929" s="179" t="s">
        <v>958</v>
      </c>
    </row>
    <row r="930" spans="1:18" x14ac:dyDescent="0.15">
      <c r="A930" s="179" t="str">
        <f t="shared" si="26"/>
        <v>Ixtapaluca_Optimal Summer_112.5</v>
      </c>
      <c r="B930" s="501" t="s">
        <v>1144</v>
      </c>
      <c r="C930" s="429">
        <v>4</v>
      </c>
      <c r="D930" s="429">
        <v>112.5</v>
      </c>
      <c r="E930" s="431">
        <v>4.32</v>
      </c>
      <c r="F930" s="431">
        <v>4.9400000000000004</v>
      </c>
      <c r="G930" s="431">
        <v>5.47</v>
      </c>
      <c r="H930" s="431">
        <v>5.36</v>
      </c>
      <c r="I930" s="431">
        <v>5.32</v>
      </c>
      <c r="J930" s="431">
        <v>4.9400000000000004</v>
      </c>
      <c r="K930" s="431">
        <v>4.96</v>
      </c>
      <c r="L930" s="431">
        <v>4.7699999999999996</v>
      </c>
      <c r="M930" s="431">
        <v>4.3099999999999996</v>
      </c>
      <c r="N930" s="431">
        <v>4.3899999999999997</v>
      </c>
      <c r="O930" s="431">
        <v>4.3600000000000003</v>
      </c>
      <c r="P930" s="431">
        <v>4</v>
      </c>
      <c r="Q930" s="179">
        <f t="shared" si="27"/>
        <v>4.7616666666666667</v>
      </c>
      <c r="R930" s="179" t="s">
        <v>958</v>
      </c>
    </row>
    <row r="931" spans="1:18" x14ac:dyDescent="0.15">
      <c r="A931" s="179" t="str">
        <f t="shared" si="26"/>
        <v>Ixtapaluca_Optimal Summer_135</v>
      </c>
      <c r="B931" s="501" t="s">
        <v>1144</v>
      </c>
      <c r="C931" s="429">
        <v>4</v>
      </c>
      <c r="D931" s="429">
        <v>135</v>
      </c>
      <c r="E931" s="431">
        <v>4.6900000000000004</v>
      </c>
      <c r="F931" s="431">
        <v>5.37</v>
      </c>
      <c r="G931" s="431">
        <v>5.94</v>
      </c>
      <c r="H931" s="431">
        <v>5.81</v>
      </c>
      <c r="I931" s="431">
        <v>5.78</v>
      </c>
      <c r="J931" s="431">
        <v>5.37</v>
      </c>
      <c r="K931" s="431">
        <v>5.39</v>
      </c>
      <c r="L931" s="431">
        <v>5.18</v>
      </c>
      <c r="M931" s="431">
        <v>4.68</v>
      </c>
      <c r="N931" s="431">
        <v>4.7699999999999996</v>
      </c>
      <c r="O931" s="431">
        <v>4.7300000000000004</v>
      </c>
      <c r="P931" s="431">
        <v>4.34</v>
      </c>
      <c r="Q931" s="179">
        <f t="shared" si="27"/>
        <v>5.1708333333333343</v>
      </c>
      <c r="R931" s="179" t="s">
        <v>958</v>
      </c>
    </row>
    <row r="932" spans="1:18" x14ac:dyDescent="0.15">
      <c r="A932" s="179" t="str">
        <f t="shared" si="26"/>
        <v>Ixtapaluca_Optimal Summer_157.5</v>
      </c>
      <c r="B932" s="501" t="s">
        <v>1144</v>
      </c>
      <c r="C932" s="429">
        <v>4</v>
      </c>
      <c r="D932" s="429">
        <v>157.5</v>
      </c>
      <c r="E932" s="431">
        <v>4.82</v>
      </c>
      <c r="F932" s="431">
        <v>5.51</v>
      </c>
      <c r="G932" s="431">
        <v>6.09</v>
      </c>
      <c r="H932" s="431">
        <v>5.97</v>
      </c>
      <c r="I932" s="431">
        <v>5.93</v>
      </c>
      <c r="J932" s="431">
        <v>5.51</v>
      </c>
      <c r="K932" s="431">
        <v>5.53</v>
      </c>
      <c r="L932" s="431">
        <v>5.31</v>
      </c>
      <c r="M932" s="431">
        <v>4.8099999999999996</v>
      </c>
      <c r="N932" s="431">
        <v>4.8899999999999997</v>
      </c>
      <c r="O932" s="431">
        <v>4.8600000000000003</v>
      </c>
      <c r="P932" s="431">
        <v>4.46</v>
      </c>
      <c r="Q932" s="179">
        <f t="shared" si="27"/>
        <v>5.3075000000000001</v>
      </c>
      <c r="R932" s="179" t="s">
        <v>958</v>
      </c>
    </row>
    <row r="933" spans="1:18" x14ac:dyDescent="0.15">
      <c r="A933" s="179" t="str">
        <f t="shared" si="26"/>
        <v>Ixtapaluca_Optimal Summer_180</v>
      </c>
      <c r="B933" s="501" t="s">
        <v>1144</v>
      </c>
      <c r="C933" s="429">
        <v>4</v>
      </c>
      <c r="D933" s="429">
        <v>180</v>
      </c>
      <c r="E933" s="431">
        <v>4.9400000000000004</v>
      </c>
      <c r="F933" s="431">
        <v>5.65</v>
      </c>
      <c r="G933" s="431">
        <v>6.25</v>
      </c>
      <c r="H933" s="431">
        <v>6.12</v>
      </c>
      <c r="I933" s="431">
        <v>6.08</v>
      </c>
      <c r="J933" s="431">
        <v>5.65</v>
      </c>
      <c r="K933" s="431">
        <v>5.67</v>
      </c>
      <c r="L933" s="431">
        <v>5.45</v>
      </c>
      <c r="M933" s="431">
        <v>4.93</v>
      </c>
      <c r="N933" s="431">
        <v>5.0199999999999996</v>
      </c>
      <c r="O933" s="431">
        <v>4.9800000000000004</v>
      </c>
      <c r="P933" s="431">
        <v>4.57</v>
      </c>
      <c r="Q933" s="179">
        <f t="shared" si="27"/>
        <v>5.4424999999999999</v>
      </c>
      <c r="R933" s="179" t="s">
        <v>958</v>
      </c>
    </row>
    <row r="934" spans="1:18" x14ac:dyDescent="0.15">
      <c r="A934" s="179" t="str">
        <f t="shared" si="26"/>
        <v>Ixtapaluca_Optimal Summer_202.5</v>
      </c>
      <c r="B934" s="501" t="s">
        <v>1144</v>
      </c>
      <c r="C934" s="429">
        <v>4</v>
      </c>
      <c r="D934" s="429">
        <v>202.5</v>
      </c>
      <c r="E934" s="431">
        <v>4.82</v>
      </c>
      <c r="F934" s="431">
        <v>5.51</v>
      </c>
      <c r="G934" s="431">
        <v>6.09</v>
      </c>
      <c r="H934" s="431">
        <v>5.97</v>
      </c>
      <c r="I934" s="431">
        <v>5.93</v>
      </c>
      <c r="J934" s="431">
        <v>5.51</v>
      </c>
      <c r="K934" s="431">
        <v>5.53</v>
      </c>
      <c r="L934" s="431">
        <v>5.31</v>
      </c>
      <c r="M934" s="431">
        <v>4.8099999999999996</v>
      </c>
      <c r="N934" s="431">
        <v>4.8899999999999997</v>
      </c>
      <c r="O934" s="431">
        <v>4.8600000000000003</v>
      </c>
      <c r="P934" s="431">
        <v>4.46</v>
      </c>
      <c r="Q934" s="179">
        <f t="shared" si="27"/>
        <v>5.3075000000000001</v>
      </c>
      <c r="R934" s="179" t="s">
        <v>958</v>
      </c>
    </row>
    <row r="935" spans="1:18" x14ac:dyDescent="0.15">
      <c r="A935" s="179" t="str">
        <f t="shared" si="26"/>
        <v>Ixtapaluca_Optimal Summer_225</v>
      </c>
      <c r="B935" s="501" t="s">
        <v>1144</v>
      </c>
      <c r="C935" s="429">
        <v>4</v>
      </c>
      <c r="D935" s="429">
        <v>225</v>
      </c>
      <c r="E935" s="431">
        <v>4.6900000000000004</v>
      </c>
      <c r="F935" s="431">
        <v>5.37</v>
      </c>
      <c r="G935" s="431">
        <v>5.94</v>
      </c>
      <c r="H935" s="431">
        <v>5.81</v>
      </c>
      <c r="I935" s="431">
        <v>5.78</v>
      </c>
      <c r="J935" s="431">
        <v>5.37</v>
      </c>
      <c r="K935" s="431">
        <v>5.39</v>
      </c>
      <c r="L935" s="431">
        <v>5.18</v>
      </c>
      <c r="M935" s="431">
        <v>4.68</v>
      </c>
      <c r="N935" s="431">
        <v>4.7699999999999996</v>
      </c>
      <c r="O935" s="431">
        <v>4.7300000000000004</v>
      </c>
      <c r="P935" s="431">
        <v>4.34</v>
      </c>
      <c r="Q935" s="179">
        <f t="shared" si="27"/>
        <v>5.1708333333333343</v>
      </c>
      <c r="R935" s="179" t="s">
        <v>958</v>
      </c>
    </row>
    <row r="936" spans="1:18" x14ac:dyDescent="0.15">
      <c r="A936" s="179" t="str">
        <f t="shared" si="26"/>
        <v>Ixtapaluca_Optimal Summer_247.5</v>
      </c>
      <c r="B936" s="501" t="s">
        <v>1144</v>
      </c>
      <c r="C936" s="429">
        <v>4</v>
      </c>
      <c r="D936" s="429">
        <v>247.5</v>
      </c>
      <c r="E936" s="431">
        <v>4.32</v>
      </c>
      <c r="F936" s="431">
        <v>4.9400000000000004</v>
      </c>
      <c r="G936" s="431">
        <v>5.47</v>
      </c>
      <c r="H936" s="431">
        <v>5.36</v>
      </c>
      <c r="I936" s="431">
        <v>5.32</v>
      </c>
      <c r="J936" s="431">
        <v>4.9400000000000004</v>
      </c>
      <c r="K936" s="431">
        <v>4.96</v>
      </c>
      <c r="L936" s="431">
        <v>4.7699999999999996</v>
      </c>
      <c r="M936" s="431">
        <v>4.3099999999999996</v>
      </c>
      <c r="N936" s="431">
        <v>4.3899999999999997</v>
      </c>
      <c r="O936" s="431">
        <v>4.3600000000000003</v>
      </c>
      <c r="P936" s="431">
        <v>4</v>
      </c>
      <c r="Q936" s="179">
        <f t="shared" si="27"/>
        <v>4.7616666666666667</v>
      </c>
      <c r="R936" s="179" t="s">
        <v>958</v>
      </c>
    </row>
    <row r="937" spans="1:18" x14ac:dyDescent="0.15">
      <c r="A937" s="179" t="str">
        <f t="shared" si="26"/>
        <v>Ixtapaluca_Optimal Summer_270</v>
      </c>
      <c r="B937" s="501" t="s">
        <v>1144</v>
      </c>
      <c r="C937" s="429">
        <v>4</v>
      </c>
      <c r="D937" s="429">
        <v>270</v>
      </c>
      <c r="E937" s="431">
        <v>3.95</v>
      </c>
      <c r="F937" s="431">
        <v>4.5199999999999996</v>
      </c>
      <c r="G937" s="431">
        <v>5</v>
      </c>
      <c r="H937" s="431">
        <v>4.9000000000000004</v>
      </c>
      <c r="I937" s="431">
        <v>4.8600000000000003</v>
      </c>
      <c r="J937" s="431">
        <v>4.5199999999999996</v>
      </c>
      <c r="K937" s="431">
        <v>4.54</v>
      </c>
      <c r="L937" s="431">
        <v>4.3600000000000003</v>
      </c>
      <c r="M937" s="431">
        <v>3.94</v>
      </c>
      <c r="N937" s="431">
        <v>4.0199999999999996</v>
      </c>
      <c r="O937" s="431">
        <v>3.98</v>
      </c>
      <c r="P937" s="431">
        <v>3.66</v>
      </c>
      <c r="Q937" s="179">
        <f t="shared" si="27"/>
        <v>4.354166666666667</v>
      </c>
      <c r="R937" s="179" t="s">
        <v>958</v>
      </c>
    </row>
    <row r="938" spans="1:18" x14ac:dyDescent="0.15">
      <c r="A938" s="179" t="str">
        <f t="shared" si="26"/>
        <v>Ixtapaluca_Optimal Year Round_90</v>
      </c>
      <c r="B938" s="501" t="s">
        <v>1144</v>
      </c>
      <c r="C938" s="429">
        <v>19</v>
      </c>
      <c r="D938" s="429">
        <v>90</v>
      </c>
      <c r="E938" s="431">
        <v>4.5599999999999996</v>
      </c>
      <c r="F938" s="431">
        <v>4.97</v>
      </c>
      <c r="G938" s="431">
        <v>5.18</v>
      </c>
      <c r="H938" s="431">
        <v>4.8099999999999996</v>
      </c>
      <c r="I938" s="431">
        <v>4.57</v>
      </c>
      <c r="J938" s="431">
        <v>4.5</v>
      </c>
      <c r="K938" s="431">
        <v>4.5</v>
      </c>
      <c r="L938" s="431">
        <v>4.22</v>
      </c>
      <c r="M938" s="431">
        <v>3.97</v>
      </c>
      <c r="N938" s="431">
        <v>4.28</v>
      </c>
      <c r="O938" s="431">
        <v>4.5199999999999996</v>
      </c>
      <c r="P938" s="431">
        <v>4.22</v>
      </c>
      <c r="Q938" s="179">
        <f t="shared" si="27"/>
        <v>4.5249999999999995</v>
      </c>
      <c r="R938" s="179" t="s">
        <v>993</v>
      </c>
    </row>
    <row r="939" spans="1:18" x14ac:dyDescent="0.15">
      <c r="A939" s="179" t="str">
        <f t="shared" si="26"/>
        <v>Ixtapaluca_Optimal Year Round_112.5</v>
      </c>
      <c r="B939" s="501" t="s">
        <v>1144</v>
      </c>
      <c r="C939" s="429">
        <v>19</v>
      </c>
      <c r="D939" s="429">
        <v>112.5</v>
      </c>
      <c r="E939" s="431">
        <v>4.99</v>
      </c>
      <c r="F939" s="431">
        <v>5.43</v>
      </c>
      <c r="G939" s="431">
        <v>5.67</v>
      </c>
      <c r="H939" s="431">
        <v>5.26</v>
      </c>
      <c r="I939" s="431">
        <v>5</v>
      </c>
      <c r="J939" s="431">
        <v>4.93</v>
      </c>
      <c r="K939" s="431">
        <v>4.92</v>
      </c>
      <c r="L939" s="431">
        <v>4.6100000000000003</v>
      </c>
      <c r="M939" s="431">
        <v>4.34</v>
      </c>
      <c r="N939" s="431">
        <v>4.68</v>
      </c>
      <c r="O939" s="431">
        <v>4.9400000000000004</v>
      </c>
      <c r="P939" s="431">
        <v>4.62</v>
      </c>
      <c r="Q939" s="179">
        <f t="shared" si="27"/>
        <v>4.9491666666666667</v>
      </c>
      <c r="R939" s="179" t="s">
        <v>993</v>
      </c>
    </row>
    <row r="940" spans="1:18" x14ac:dyDescent="0.15">
      <c r="A940" s="179" t="str">
        <f t="shared" si="26"/>
        <v>Ixtapaluca_Optimal Year Round_135</v>
      </c>
      <c r="B940" s="501" t="s">
        <v>1144</v>
      </c>
      <c r="C940" s="429">
        <v>19</v>
      </c>
      <c r="D940" s="429">
        <v>135</v>
      </c>
      <c r="E940" s="431">
        <v>5.42</v>
      </c>
      <c r="F940" s="431">
        <v>5.9</v>
      </c>
      <c r="G940" s="431">
        <v>6.16</v>
      </c>
      <c r="H940" s="431">
        <v>5.71</v>
      </c>
      <c r="I940" s="431">
        <v>5.42</v>
      </c>
      <c r="J940" s="431">
        <v>5.35</v>
      </c>
      <c r="K940" s="431">
        <v>5.34</v>
      </c>
      <c r="L940" s="431">
        <v>5.01</v>
      </c>
      <c r="M940" s="431">
        <v>4.71</v>
      </c>
      <c r="N940" s="431">
        <v>5.08</v>
      </c>
      <c r="O940" s="431">
        <v>5.37</v>
      </c>
      <c r="P940" s="431">
        <v>5.0199999999999996</v>
      </c>
      <c r="Q940" s="179">
        <f t="shared" si="27"/>
        <v>5.3741666666666665</v>
      </c>
      <c r="R940" s="179" t="s">
        <v>993</v>
      </c>
    </row>
    <row r="941" spans="1:18" x14ac:dyDescent="0.15">
      <c r="A941" s="179" t="str">
        <f t="shared" si="26"/>
        <v>Ixtapaluca_Optimal Year Round_157.5</v>
      </c>
      <c r="B941" s="501" t="s">
        <v>1144</v>
      </c>
      <c r="C941" s="429">
        <v>19</v>
      </c>
      <c r="D941" s="429">
        <v>157.5</v>
      </c>
      <c r="E941" s="431">
        <v>5.56</v>
      </c>
      <c r="F941" s="431">
        <v>6.05</v>
      </c>
      <c r="G941" s="431">
        <v>6.32</v>
      </c>
      <c r="H941" s="431">
        <v>5.86</v>
      </c>
      <c r="I941" s="431">
        <v>5.57</v>
      </c>
      <c r="J941" s="431">
        <v>5.49</v>
      </c>
      <c r="K941" s="431">
        <v>5.48</v>
      </c>
      <c r="L941" s="431">
        <v>5.14</v>
      </c>
      <c r="M941" s="431">
        <v>4.84</v>
      </c>
      <c r="N941" s="431">
        <v>5.22</v>
      </c>
      <c r="O941" s="431">
        <v>5.51</v>
      </c>
      <c r="P941" s="431">
        <v>5.15</v>
      </c>
      <c r="Q941" s="179">
        <f t="shared" si="27"/>
        <v>5.5158333333333331</v>
      </c>
      <c r="R941" s="179" t="s">
        <v>993</v>
      </c>
    </row>
    <row r="942" spans="1:18" x14ac:dyDescent="0.15">
      <c r="A942" s="179" t="str">
        <f t="shared" si="26"/>
        <v>Ixtapaluca_Optimal Year Round_180</v>
      </c>
      <c r="B942" s="501" t="s">
        <v>1144</v>
      </c>
      <c r="C942" s="429">
        <v>19</v>
      </c>
      <c r="D942" s="429">
        <v>180</v>
      </c>
      <c r="E942" s="431">
        <v>5.7</v>
      </c>
      <c r="F942" s="431">
        <v>6.21</v>
      </c>
      <c r="G942" s="431">
        <v>6.48</v>
      </c>
      <c r="H942" s="431">
        <v>6.01</v>
      </c>
      <c r="I942" s="431">
        <v>5.71</v>
      </c>
      <c r="J942" s="431">
        <v>5.63</v>
      </c>
      <c r="K942" s="431">
        <v>5.62</v>
      </c>
      <c r="L942" s="431">
        <v>5.27</v>
      </c>
      <c r="M942" s="431">
        <v>4.96</v>
      </c>
      <c r="N942" s="431">
        <v>5.35</v>
      </c>
      <c r="O942" s="431">
        <v>5.65</v>
      </c>
      <c r="P942" s="431">
        <v>5.28</v>
      </c>
      <c r="Q942" s="179">
        <f t="shared" si="27"/>
        <v>5.6558333333333328</v>
      </c>
      <c r="R942" s="179" t="s">
        <v>993</v>
      </c>
    </row>
    <row r="943" spans="1:18" x14ac:dyDescent="0.15">
      <c r="A943" s="179" t="str">
        <f t="shared" si="26"/>
        <v>Ixtapaluca_Optimal Year Round_202.5</v>
      </c>
      <c r="B943" s="501" t="s">
        <v>1144</v>
      </c>
      <c r="C943" s="429">
        <v>19</v>
      </c>
      <c r="D943" s="429">
        <v>202.5</v>
      </c>
      <c r="E943" s="431">
        <v>5.56</v>
      </c>
      <c r="F943" s="431">
        <v>6.05</v>
      </c>
      <c r="G943" s="431">
        <v>6.32</v>
      </c>
      <c r="H943" s="431">
        <v>5.86</v>
      </c>
      <c r="I943" s="431">
        <v>5.57</v>
      </c>
      <c r="J943" s="431">
        <v>5.49</v>
      </c>
      <c r="K943" s="431">
        <v>5.48</v>
      </c>
      <c r="L943" s="431">
        <v>5.14</v>
      </c>
      <c r="M943" s="431">
        <v>4.84</v>
      </c>
      <c r="N943" s="431">
        <v>5.22</v>
      </c>
      <c r="O943" s="431">
        <v>5.51</v>
      </c>
      <c r="P943" s="431">
        <v>5.15</v>
      </c>
      <c r="Q943" s="179">
        <f t="shared" si="27"/>
        <v>5.5158333333333331</v>
      </c>
      <c r="R943" s="179" t="s">
        <v>993</v>
      </c>
    </row>
    <row r="944" spans="1:18" x14ac:dyDescent="0.15">
      <c r="A944" s="179" t="str">
        <f t="shared" si="26"/>
        <v>Ixtapaluca_Optimal Year Round_225</v>
      </c>
      <c r="B944" s="501" t="s">
        <v>1144</v>
      </c>
      <c r="C944" s="429">
        <v>19</v>
      </c>
      <c r="D944" s="429">
        <v>225</v>
      </c>
      <c r="E944" s="431">
        <v>5.42</v>
      </c>
      <c r="F944" s="431">
        <v>5.9</v>
      </c>
      <c r="G944" s="431">
        <v>6.16</v>
      </c>
      <c r="H944" s="431">
        <v>5.71</v>
      </c>
      <c r="I944" s="431">
        <v>5.42</v>
      </c>
      <c r="J944" s="431">
        <v>5.35</v>
      </c>
      <c r="K944" s="431">
        <v>5.34</v>
      </c>
      <c r="L944" s="431">
        <v>5.01</v>
      </c>
      <c r="M944" s="431">
        <v>4.71</v>
      </c>
      <c r="N944" s="431">
        <v>5.08</v>
      </c>
      <c r="O944" s="431">
        <v>5.37</v>
      </c>
      <c r="P944" s="431">
        <v>5.0199999999999996</v>
      </c>
      <c r="Q944" s="179">
        <f t="shared" si="27"/>
        <v>5.3741666666666665</v>
      </c>
      <c r="R944" s="179" t="s">
        <v>993</v>
      </c>
    </row>
    <row r="945" spans="1:18" x14ac:dyDescent="0.15">
      <c r="A945" s="179" t="str">
        <f t="shared" si="26"/>
        <v>Ixtapaluca_Optimal Year Round_247.5</v>
      </c>
      <c r="B945" s="501" t="s">
        <v>1144</v>
      </c>
      <c r="C945" s="429">
        <v>19</v>
      </c>
      <c r="D945" s="429">
        <v>247.5</v>
      </c>
      <c r="E945" s="431">
        <v>4.99</v>
      </c>
      <c r="F945" s="431">
        <v>5.43</v>
      </c>
      <c r="G945" s="431">
        <v>5.67</v>
      </c>
      <c r="H945" s="431">
        <v>5.26</v>
      </c>
      <c r="I945" s="431">
        <v>5</v>
      </c>
      <c r="J945" s="431">
        <v>4.93</v>
      </c>
      <c r="K945" s="431">
        <v>4.92</v>
      </c>
      <c r="L945" s="431">
        <v>4.6100000000000003</v>
      </c>
      <c r="M945" s="431">
        <v>4.34</v>
      </c>
      <c r="N945" s="431">
        <v>4.68</v>
      </c>
      <c r="O945" s="431">
        <v>4.9400000000000004</v>
      </c>
      <c r="P945" s="431">
        <v>4.62</v>
      </c>
      <c r="Q945" s="179">
        <f t="shared" si="27"/>
        <v>4.9491666666666667</v>
      </c>
      <c r="R945" s="179" t="s">
        <v>993</v>
      </c>
    </row>
    <row r="946" spans="1:18" x14ac:dyDescent="0.15">
      <c r="A946" s="179" t="str">
        <f t="shared" si="26"/>
        <v>Ixtapaluca_Optimal Year Round_270</v>
      </c>
      <c r="B946" s="501" t="s">
        <v>1144</v>
      </c>
      <c r="C946" s="429">
        <v>19</v>
      </c>
      <c r="D946" s="429">
        <v>270</v>
      </c>
      <c r="E946" s="431">
        <v>4.5599999999999996</v>
      </c>
      <c r="F946" s="431">
        <v>4.97</v>
      </c>
      <c r="G946" s="431">
        <v>5.18</v>
      </c>
      <c r="H946" s="431">
        <v>4.8099999999999996</v>
      </c>
      <c r="I946" s="431">
        <v>4.57</v>
      </c>
      <c r="J946" s="431">
        <v>4.5</v>
      </c>
      <c r="K946" s="431">
        <v>4.5</v>
      </c>
      <c r="L946" s="431">
        <v>4.22</v>
      </c>
      <c r="M946" s="431">
        <v>3.97</v>
      </c>
      <c r="N946" s="431">
        <v>4.28</v>
      </c>
      <c r="O946" s="431">
        <v>4.5199999999999996</v>
      </c>
      <c r="P946" s="431">
        <v>4.22</v>
      </c>
      <c r="Q946" s="179">
        <f t="shared" si="27"/>
        <v>4.5249999999999995</v>
      </c>
      <c r="R946" s="179" t="s">
        <v>993</v>
      </c>
    </row>
    <row r="947" spans="1:18" x14ac:dyDescent="0.15">
      <c r="A947" s="179" t="str">
        <f t="shared" si="26"/>
        <v>Iztacalco_Flat Surface_90</v>
      </c>
      <c r="B947" s="501" t="s">
        <v>1145</v>
      </c>
      <c r="C947" s="429">
        <v>0</v>
      </c>
      <c r="D947" s="429">
        <v>90</v>
      </c>
      <c r="E947" s="431">
        <v>4.74</v>
      </c>
      <c r="F947" s="431">
        <v>5.68</v>
      </c>
      <c r="G947" s="431">
        <v>6.47</v>
      </c>
      <c r="H947" s="431">
        <v>6.38</v>
      </c>
      <c r="I947" s="431">
        <v>6.21</v>
      </c>
      <c r="J947" s="431">
        <v>5.57</v>
      </c>
      <c r="K947" s="431">
        <v>5.48</v>
      </c>
      <c r="L947" s="431">
        <v>5.31</v>
      </c>
      <c r="M947" s="431">
        <v>4.88</v>
      </c>
      <c r="N947" s="431">
        <v>4.87</v>
      </c>
      <c r="O947" s="431">
        <v>4.7699999999999996</v>
      </c>
      <c r="P947" s="431">
        <v>4.34</v>
      </c>
      <c r="Q947" s="179">
        <f t="shared" si="27"/>
        <v>5.3916666666666666</v>
      </c>
      <c r="R947" s="179" t="s">
        <v>994</v>
      </c>
    </row>
    <row r="948" spans="1:18" x14ac:dyDescent="0.15">
      <c r="A948" s="179" t="str">
        <f t="shared" si="26"/>
        <v>Iztacalco_Flat Surface_112.5</v>
      </c>
      <c r="B948" s="501" t="s">
        <v>1145</v>
      </c>
      <c r="C948" s="429">
        <v>0</v>
      </c>
      <c r="D948" s="429">
        <v>112.5</v>
      </c>
      <c r="E948" s="431">
        <v>4.74</v>
      </c>
      <c r="F948" s="431">
        <v>5.68</v>
      </c>
      <c r="G948" s="431">
        <v>6.47</v>
      </c>
      <c r="H948" s="431">
        <v>6.38</v>
      </c>
      <c r="I948" s="431">
        <v>6.21</v>
      </c>
      <c r="J948" s="431">
        <v>5.57</v>
      </c>
      <c r="K948" s="431">
        <v>5.48</v>
      </c>
      <c r="L948" s="431">
        <v>5.31</v>
      </c>
      <c r="M948" s="431">
        <v>4.88</v>
      </c>
      <c r="N948" s="431">
        <v>4.87</v>
      </c>
      <c r="O948" s="431">
        <v>4.7699999999999996</v>
      </c>
      <c r="P948" s="431">
        <v>4.34</v>
      </c>
      <c r="Q948" s="179">
        <f t="shared" si="27"/>
        <v>5.3916666666666666</v>
      </c>
      <c r="R948" s="179" t="s">
        <v>994</v>
      </c>
    </row>
    <row r="949" spans="1:18" x14ac:dyDescent="0.15">
      <c r="A949" s="179" t="str">
        <f t="shared" si="26"/>
        <v>Iztacalco_Flat Surface_135</v>
      </c>
      <c r="B949" s="501" t="s">
        <v>1145</v>
      </c>
      <c r="C949" s="429">
        <v>0</v>
      </c>
      <c r="D949" s="429">
        <v>135</v>
      </c>
      <c r="E949" s="431">
        <v>4.74</v>
      </c>
      <c r="F949" s="431">
        <v>5.68</v>
      </c>
      <c r="G949" s="431">
        <v>6.47</v>
      </c>
      <c r="H949" s="431">
        <v>6.38</v>
      </c>
      <c r="I949" s="431">
        <v>6.21</v>
      </c>
      <c r="J949" s="431">
        <v>5.57</v>
      </c>
      <c r="K949" s="431">
        <v>5.48</v>
      </c>
      <c r="L949" s="431">
        <v>5.31</v>
      </c>
      <c r="M949" s="431">
        <v>4.88</v>
      </c>
      <c r="N949" s="431">
        <v>4.87</v>
      </c>
      <c r="O949" s="431">
        <v>4.7699999999999996</v>
      </c>
      <c r="P949" s="431">
        <v>4.34</v>
      </c>
      <c r="Q949" s="179">
        <f t="shared" si="27"/>
        <v>5.3916666666666666</v>
      </c>
      <c r="R949" s="179" t="s">
        <v>994</v>
      </c>
    </row>
    <row r="950" spans="1:18" x14ac:dyDescent="0.15">
      <c r="A950" s="179" t="str">
        <f t="shared" si="26"/>
        <v>Iztacalco_Flat Surface_157.5</v>
      </c>
      <c r="B950" s="501" t="s">
        <v>1145</v>
      </c>
      <c r="C950" s="429">
        <v>0</v>
      </c>
      <c r="D950" s="429">
        <v>157.5</v>
      </c>
      <c r="E950" s="431">
        <v>4.74</v>
      </c>
      <c r="F950" s="431">
        <v>5.68</v>
      </c>
      <c r="G950" s="431">
        <v>6.47</v>
      </c>
      <c r="H950" s="431">
        <v>6.38</v>
      </c>
      <c r="I950" s="431">
        <v>6.21</v>
      </c>
      <c r="J950" s="431">
        <v>5.57</v>
      </c>
      <c r="K950" s="431">
        <v>5.48</v>
      </c>
      <c r="L950" s="431">
        <v>5.31</v>
      </c>
      <c r="M950" s="431">
        <v>4.88</v>
      </c>
      <c r="N950" s="431">
        <v>4.87</v>
      </c>
      <c r="O950" s="431">
        <v>4.7699999999999996</v>
      </c>
      <c r="P950" s="431">
        <v>4.34</v>
      </c>
      <c r="Q950" s="179">
        <f t="shared" si="27"/>
        <v>5.3916666666666666</v>
      </c>
      <c r="R950" s="179" t="s">
        <v>994</v>
      </c>
    </row>
    <row r="951" spans="1:18" x14ac:dyDescent="0.15">
      <c r="A951" s="179" t="str">
        <f t="shared" si="26"/>
        <v>Iztacalco_Flat Surface_180</v>
      </c>
      <c r="B951" s="501" t="s">
        <v>1145</v>
      </c>
      <c r="C951" s="429">
        <v>0</v>
      </c>
      <c r="D951" s="429">
        <v>180</v>
      </c>
      <c r="E951" s="431">
        <v>4.74</v>
      </c>
      <c r="F951" s="431">
        <v>5.68</v>
      </c>
      <c r="G951" s="431">
        <v>6.47</v>
      </c>
      <c r="H951" s="431">
        <v>6.38</v>
      </c>
      <c r="I951" s="431">
        <v>6.21</v>
      </c>
      <c r="J951" s="431">
        <v>5.57</v>
      </c>
      <c r="K951" s="431">
        <v>5.48</v>
      </c>
      <c r="L951" s="431">
        <v>5.31</v>
      </c>
      <c r="M951" s="431">
        <v>4.88</v>
      </c>
      <c r="N951" s="431">
        <v>4.87</v>
      </c>
      <c r="O951" s="431">
        <v>4.7699999999999996</v>
      </c>
      <c r="P951" s="431">
        <v>4.34</v>
      </c>
      <c r="Q951" s="179">
        <f t="shared" si="27"/>
        <v>5.3916666666666666</v>
      </c>
      <c r="R951" s="179" t="s">
        <v>994</v>
      </c>
    </row>
    <row r="952" spans="1:18" x14ac:dyDescent="0.15">
      <c r="A952" s="179" t="str">
        <f t="shared" si="26"/>
        <v>Iztacalco_Flat Surface_202.5</v>
      </c>
      <c r="B952" s="501" t="s">
        <v>1145</v>
      </c>
      <c r="C952" s="429">
        <v>0</v>
      </c>
      <c r="D952" s="429">
        <v>202.5</v>
      </c>
      <c r="E952" s="431">
        <v>4.74</v>
      </c>
      <c r="F952" s="431">
        <v>5.68</v>
      </c>
      <c r="G952" s="431">
        <v>6.47</v>
      </c>
      <c r="H952" s="431">
        <v>6.38</v>
      </c>
      <c r="I952" s="431">
        <v>6.21</v>
      </c>
      <c r="J952" s="431">
        <v>5.57</v>
      </c>
      <c r="K952" s="431">
        <v>5.48</v>
      </c>
      <c r="L952" s="431">
        <v>5.31</v>
      </c>
      <c r="M952" s="431">
        <v>4.88</v>
      </c>
      <c r="N952" s="431">
        <v>4.87</v>
      </c>
      <c r="O952" s="431">
        <v>4.7699999999999996</v>
      </c>
      <c r="P952" s="431">
        <v>4.34</v>
      </c>
      <c r="Q952" s="179">
        <f t="shared" si="27"/>
        <v>5.3916666666666666</v>
      </c>
      <c r="R952" s="179" t="s">
        <v>994</v>
      </c>
    </row>
    <row r="953" spans="1:18" x14ac:dyDescent="0.15">
      <c r="A953" s="179" t="str">
        <f t="shared" si="26"/>
        <v>Iztacalco_Flat Surface_225</v>
      </c>
      <c r="B953" s="501" t="s">
        <v>1145</v>
      </c>
      <c r="C953" s="429">
        <v>0</v>
      </c>
      <c r="D953" s="429">
        <v>225</v>
      </c>
      <c r="E953" s="431">
        <v>4.74</v>
      </c>
      <c r="F953" s="431">
        <v>5.68</v>
      </c>
      <c r="G953" s="431">
        <v>6.47</v>
      </c>
      <c r="H953" s="431">
        <v>6.38</v>
      </c>
      <c r="I953" s="431">
        <v>6.21</v>
      </c>
      <c r="J953" s="431">
        <v>5.57</v>
      </c>
      <c r="K953" s="431">
        <v>5.48</v>
      </c>
      <c r="L953" s="431">
        <v>5.31</v>
      </c>
      <c r="M953" s="431">
        <v>4.88</v>
      </c>
      <c r="N953" s="431">
        <v>4.87</v>
      </c>
      <c r="O953" s="431">
        <v>4.7699999999999996</v>
      </c>
      <c r="P953" s="431">
        <v>4.34</v>
      </c>
      <c r="Q953" s="179">
        <f t="shared" si="27"/>
        <v>5.3916666666666666</v>
      </c>
      <c r="R953" s="179" t="s">
        <v>994</v>
      </c>
    </row>
    <row r="954" spans="1:18" x14ac:dyDescent="0.15">
      <c r="A954" s="179" t="str">
        <f t="shared" si="26"/>
        <v>Iztacalco_Flat Surface_247.5</v>
      </c>
      <c r="B954" s="501" t="s">
        <v>1145</v>
      </c>
      <c r="C954" s="429">
        <v>0</v>
      </c>
      <c r="D954" s="429">
        <v>247.5</v>
      </c>
      <c r="E954" s="431">
        <v>4.74</v>
      </c>
      <c r="F954" s="431">
        <v>5.68</v>
      </c>
      <c r="G954" s="431">
        <v>6.47</v>
      </c>
      <c r="H954" s="431">
        <v>6.38</v>
      </c>
      <c r="I954" s="431">
        <v>6.21</v>
      </c>
      <c r="J954" s="431">
        <v>5.57</v>
      </c>
      <c r="K954" s="431">
        <v>5.48</v>
      </c>
      <c r="L954" s="431">
        <v>5.31</v>
      </c>
      <c r="M954" s="431">
        <v>4.88</v>
      </c>
      <c r="N954" s="431">
        <v>4.87</v>
      </c>
      <c r="O954" s="431">
        <v>4.7699999999999996</v>
      </c>
      <c r="P954" s="431">
        <v>4.34</v>
      </c>
      <c r="Q954" s="179">
        <f t="shared" si="27"/>
        <v>5.3916666666666666</v>
      </c>
      <c r="R954" s="179" t="s">
        <v>994</v>
      </c>
    </row>
    <row r="955" spans="1:18" x14ac:dyDescent="0.15">
      <c r="A955" s="179" t="str">
        <f t="shared" si="26"/>
        <v>Iztacalco_Flat Surface_270</v>
      </c>
      <c r="B955" s="501" t="s">
        <v>1145</v>
      </c>
      <c r="C955" s="429">
        <v>0</v>
      </c>
      <c r="D955" s="429">
        <v>270</v>
      </c>
      <c r="E955" s="431">
        <v>4.74</v>
      </c>
      <c r="F955" s="431">
        <v>5.68</v>
      </c>
      <c r="G955" s="431">
        <v>6.47</v>
      </c>
      <c r="H955" s="431">
        <v>6.38</v>
      </c>
      <c r="I955" s="431">
        <v>6.21</v>
      </c>
      <c r="J955" s="431">
        <v>5.57</v>
      </c>
      <c r="K955" s="431">
        <v>5.48</v>
      </c>
      <c r="L955" s="431">
        <v>5.31</v>
      </c>
      <c r="M955" s="431">
        <v>4.88</v>
      </c>
      <c r="N955" s="431">
        <v>4.87</v>
      </c>
      <c r="O955" s="431">
        <v>4.7699999999999996</v>
      </c>
      <c r="P955" s="431">
        <v>4.34</v>
      </c>
      <c r="Q955" s="179">
        <f t="shared" si="27"/>
        <v>5.3916666666666666</v>
      </c>
      <c r="R955" s="179" t="s">
        <v>994</v>
      </c>
    </row>
    <row r="956" spans="1:18" x14ac:dyDescent="0.15">
      <c r="A956" s="179" t="str">
        <f t="shared" si="26"/>
        <v>Iztacalco_Optimal Summer_90</v>
      </c>
      <c r="B956" s="501" t="s">
        <v>1145</v>
      </c>
      <c r="C956" s="429">
        <v>4</v>
      </c>
      <c r="D956" s="429">
        <v>90</v>
      </c>
      <c r="E956" s="431">
        <v>4</v>
      </c>
      <c r="F956" s="431">
        <v>4.72</v>
      </c>
      <c r="G956" s="431">
        <v>5.29</v>
      </c>
      <c r="H956" s="431">
        <v>5.13</v>
      </c>
      <c r="I956" s="431">
        <v>4.93</v>
      </c>
      <c r="J956" s="431">
        <v>4.49</v>
      </c>
      <c r="K956" s="431">
        <v>4.41</v>
      </c>
      <c r="L956" s="431">
        <v>4.25</v>
      </c>
      <c r="M956" s="431">
        <v>3.94</v>
      </c>
      <c r="N956" s="431">
        <v>4</v>
      </c>
      <c r="O956" s="431">
        <v>4</v>
      </c>
      <c r="P956" s="431">
        <v>3.66</v>
      </c>
      <c r="Q956" s="179">
        <f t="shared" si="27"/>
        <v>4.4016666666666664</v>
      </c>
      <c r="R956" s="179" t="s">
        <v>958</v>
      </c>
    </row>
    <row r="957" spans="1:18" x14ac:dyDescent="0.15">
      <c r="A957" s="179" t="str">
        <f t="shared" si="26"/>
        <v>Iztacalco_Optimal Summer_112.5</v>
      </c>
      <c r="B957" s="501" t="s">
        <v>1145</v>
      </c>
      <c r="C957" s="429">
        <v>4</v>
      </c>
      <c r="D957" s="429">
        <v>112.5</v>
      </c>
      <c r="E957" s="431">
        <v>4.38</v>
      </c>
      <c r="F957" s="431">
        <v>5.16</v>
      </c>
      <c r="G957" s="431">
        <v>5.78</v>
      </c>
      <c r="H957" s="431">
        <v>5.61</v>
      </c>
      <c r="I957" s="431">
        <v>5.39</v>
      </c>
      <c r="J957" s="431">
        <v>4.91</v>
      </c>
      <c r="K957" s="431">
        <v>4.82</v>
      </c>
      <c r="L957" s="431">
        <v>4.6500000000000004</v>
      </c>
      <c r="M957" s="431">
        <v>4.3099999999999996</v>
      </c>
      <c r="N957" s="431">
        <v>4.38</v>
      </c>
      <c r="O957" s="431">
        <v>4.38</v>
      </c>
      <c r="P957" s="431">
        <v>4</v>
      </c>
      <c r="Q957" s="179">
        <f t="shared" si="27"/>
        <v>4.8141666666666669</v>
      </c>
      <c r="R957" s="179" t="s">
        <v>958</v>
      </c>
    </row>
    <row r="958" spans="1:18" x14ac:dyDescent="0.15">
      <c r="A958" s="179" t="str">
        <f t="shared" si="26"/>
        <v>Iztacalco_Optimal Summer_135</v>
      </c>
      <c r="B958" s="501" t="s">
        <v>1145</v>
      </c>
      <c r="C958" s="429">
        <v>4</v>
      </c>
      <c r="D958" s="429">
        <v>135</v>
      </c>
      <c r="E958" s="431">
        <v>4.75</v>
      </c>
      <c r="F958" s="431">
        <v>5.6</v>
      </c>
      <c r="G958" s="431">
        <v>6.28</v>
      </c>
      <c r="H958" s="431">
        <v>6.09</v>
      </c>
      <c r="I958" s="431">
        <v>5.85</v>
      </c>
      <c r="J958" s="431">
        <v>5.33</v>
      </c>
      <c r="K958" s="431">
        <v>5.23</v>
      </c>
      <c r="L958" s="431">
        <v>5.04</v>
      </c>
      <c r="M958" s="431">
        <v>4.68</v>
      </c>
      <c r="N958" s="431">
        <v>4.75</v>
      </c>
      <c r="O958" s="431">
        <v>4.75</v>
      </c>
      <c r="P958" s="431">
        <v>4.34</v>
      </c>
      <c r="Q958" s="179">
        <f t="shared" si="27"/>
        <v>5.2241666666666662</v>
      </c>
      <c r="R958" s="179" t="s">
        <v>958</v>
      </c>
    </row>
    <row r="959" spans="1:18" x14ac:dyDescent="0.15">
      <c r="A959" s="179" t="str">
        <f t="shared" si="26"/>
        <v>Iztacalco_Optimal Summer_157.5</v>
      </c>
      <c r="B959" s="501" t="s">
        <v>1145</v>
      </c>
      <c r="C959" s="429">
        <v>4</v>
      </c>
      <c r="D959" s="429">
        <v>157.5</v>
      </c>
      <c r="E959" s="431">
        <v>4.88</v>
      </c>
      <c r="F959" s="431">
        <v>5.75</v>
      </c>
      <c r="G959" s="431">
        <v>6.44</v>
      </c>
      <c r="H959" s="431">
        <v>6.25</v>
      </c>
      <c r="I959" s="431">
        <v>6.01</v>
      </c>
      <c r="J959" s="431">
        <v>5.47</v>
      </c>
      <c r="K959" s="431">
        <v>5.37</v>
      </c>
      <c r="L959" s="431">
        <v>5.18</v>
      </c>
      <c r="M959" s="431">
        <v>4.8099999999999996</v>
      </c>
      <c r="N959" s="431">
        <v>4.88</v>
      </c>
      <c r="O959" s="431">
        <v>4.88</v>
      </c>
      <c r="P959" s="431">
        <v>4.46</v>
      </c>
      <c r="Q959" s="179">
        <f t="shared" si="27"/>
        <v>5.3649999999999993</v>
      </c>
      <c r="R959" s="179" t="s">
        <v>958</v>
      </c>
    </row>
    <row r="960" spans="1:18" x14ac:dyDescent="0.15">
      <c r="A960" s="179" t="str">
        <f t="shared" si="26"/>
        <v>Iztacalco_Optimal Summer_180</v>
      </c>
      <c r="B960" s="501" t="s">
        <v>1145</v>
      </c>
      <c r="C960" s="429">
        <v>4</v>
      </c>
      <c r="D960" s="429">
        <v>180</v>
      </c>
      <c r="E960" s="431">
        <v>5</v>
      </c>
      <c r="F960" s="431">
        <v>5.9</v>
      </c>
      <c r="G960" s="431">
        <v>6.61</v>
      </c>
      <c r="H960" s="431">
        <v>6.41</v>
      </c>
      <c r="I960" s="431">
        <v>6.16</v>
      </c>
      <c r="J960" s="431">
        <v>5.61</v>
      </c>
      <c r="K960" s="431">
        <v>5.51</v>
      </c>
      <c r="L960" s="431">
        <v>5.31</v>
      </c>
      <c r="M960" s="431">
        <v>4.93</v>
      </c>
      <c r="N960" s="431">
        <v>5</v>
      </c>
      <c r="O960" s="431">
        <v>5</v>
      </c>
      <c r="P960" s="431">
        <v>4.57</v>
      </c>
      <c r="Q960" s="179">
        <f t="shared" si="27"/>
        <v>5.5008333333333335</v>
      </c>
      <c r="R960" s="179" t="s">
        <v>958</v>
      </c>
    </row>
    <row r="961" spans="1:18" x14ac:dyDescent="0.15">
      <c r="A961" s="179" t="str">
        <f t="shared" si="26"/>
        <v>Iztacalco_Optimal Summer_202.5</v>
      </c>
      <c r="B961" s="501" t="s">
        <v>1145</v>
      </c>
      <c r="C961" s="429">
        <v>4</v>
      </c>
      <c r="D961" s="429">
        <v>202.5</v>
      </c>
      <c r="E961" s="431">
        <v>4.88</v>
      </c>
      <c r="F961" s="431">
        <v>5.75</v>
      </c>
      <c r="G961" s="431">
        <v>6.44</v>
      </c>
      <c r="H961" s="431">
        <v>6.25</v>
      </c>
      <c r="I961" s="431">
        <v>6.01</v>
      </c>
      <c r="J961" s="431">
        <v>5.47</v>
      </c>
      <c r="K961" s="431">
        <v>5.37</v>
      </c>
      <c r="L961" s="431">
        <v>5.18</v>
      </c>
      <c r="M961" s="431">
        <v>4.8099999999999996</v>
      </c>
      <c r="N961" s="431">
        <v>4.88</v>
      </c>
      <c r="O961" s="431">
        <v>4.88</v>
      </c>
      <c r="P961" s="431">
        <v>4.46</v>
      </c>
      <c r="Q961" s="179">
        <f t="shared" si="27"/>
        <v>5.3649999999999993</v>
      </c>
      <c r="R961" s="179" t="s">
        <v>958</v>
      </c>
    </row>
    <row r="962" spans="1:18" x14ac:dyDescent="0.15">
      <c r="A962" s="179" t="str">
        <f t="shared" ref="A962:A1025" si="28">B962&amp;"_"&amp;R962&amp;"_"&amp;D962</f>
        <v>Iztacalco_Optimal Summer_225</v>
      </c>
      <c r="B962" s="501" t="s">
        <v>1145</v>
      </c>
      <c r="C962" s="429">
        <v>4</v>
      </c>
      <c r="D962" s="429">
        <v>225</v>
      </c>
      <c r="E962" s="431">
        <v>4.75</v>
      </c>
      <c r="F962" s="431">
        <v>5.6</v>
      </c>
      <c r="G962" s="431">
        <v>6.28</v>
      </c>
      <c r="H962" s="431">
        <v>6.09</v>
      </c>
      <c r="I962" s="431">
        <v>5.85</v>
      </c>
      <c r="J962" s="431">
        <v>5.33</v>
      </c>
      <c r="K962" s="431">
        <v>5.23</v>
      </c>
      <c r="L962" s="431">
        <v>5.04</v>
      </c>
      <c r="M962" s="431">
        <v>4.68</v>
      </c>
      <c r="N962" s="431">
        <v>4.75</v>
      </c>
      <c r="O962" s="431">
        <v>4.75</v>
      </c>
      <c r="P962" s="431">
        <v>4.34</v>
      </c>
      <c r="Q962" s="179">
        <f t="shared" ref="Q962:Q1025" si="29">AVERAGE(E962:P962)</f>
        <v>5.2241666666666662</v>
      </c>
      <c r="R962" s="179" t="s">
        <v>958</v>
      </c>
    </row>
    <row r="963" spans="1:18" x14ac:dyDescent="0.15">
      <c r="A963" s="179" t="str">
        <f t="shared" si="28"/>
        <v>Iztacalco_Optimal Summer_247.5</v>
      </c>
      <c r="B963" s="501" t="s">
        <v>1145</v>
      </c>
      <c r="C963" s="429">
        <v>4</v>
      </c>
      <c r="D963" s="429">
        <v>247.5</v>
      </c>
      <c r="E963" s="431">
        <v>4.38</v>
      </c>
      <c r="F963" s="431">
        <v>5.16</v>
      </c>
      <c r="G963" s="431">
        <v>5.78</v>
      </c>
      <c r="H963" s="431">
        <v>5.61</v>
      </c>
      <c r="I963" s="431">
        <v>5.39</v>
      </c>
      <c r="J963" s="431">
        <v>4.91</v>
      </c>
      <c r="K963" s="431">
        <v>4.82</v>
      </c>
      <c r="L963" s="431">
        <v>4.6500000000000004</v>
      </c>
      <c r="M963" s="431">
        <v>4.3099999999999996</v>
      </c>
      <c r="N963" s="431">
        <v>4.38</v>
      </c>
      <c r="O963" s="431">
        <v>4.38</v>
      </c>
      <c r="P963" s="431">
        <v>4</v>
      </c>
      <c r="Q963" s="179">
        <f t="shared" si="29"/>
        <v>4.8141666666666669</v>
      </c>
      <c r="R963" s="179" t="s">
        <v>958</v>
      </c>
    </row>
    <row r="964" spans="1:18" x14ac:dyDescent="0.15">
      <c r="A964" s="179" t="str">
        <f t="shared" si="28"/>
        <v>Iztacalco_Optimal Summer_270</v>
      </c>
      <c r="B964" s="501" t="s">
        <v>1145</v>
      </c>
      <c r="C964" s="429">
        <v>4</v>
      </c>
      <c r="D964" s="429">
        <v>270</v>
      </c>
      <c r="E964" s="431">
        <v>4</v>
      </c>
      <c r="F964" s="431">
        <v>4.72</v>
      </c>
      <c r="G964" s="431">
        <v>5.29</v>
      </c>
      <c r="H964" s="431">
        <v>5.13</v>
      </c>
      <c r="I964" s="431">
        <v>4.93</v>
      </c>
      <c r="J964" s="431">
        <v>4.49</v>
      </c>
      <c r="K964" s="431">
        <v>4.41</v>
      </c>
      <c r="L964" s="431">
        <v>4.25</v>
      </c>
      <c r="M964" s="431">
        <v>3.94</v>
      </c>
      <c r="N964" s="431">
        <v>4</v>
      </c>
      <c r="O964" s="431">
        <v>4</v>
      </c>
      <c r="P964" s="431">
        <v>3.66</v>
      </c>
      <c r="Q964" s="179">
        <f t="shared" si="29"/>
        <v>4.4016666666666664</v>
      </c>
      <c r="R964" s="179" t="s">
        <v>958</v>
      </c>
    </row>
    <row r="965" spans="1:18" x14ac:dyDescent="0.15">
      <c r="A965" s="179" t="str">
        <f t="shared" si="28"/>
        <v>Iztacalco_Optimal Year Round_90</v>
      </c>
      <c r="B965" s="501" t="s">
        <v>1145</v>
      </c>
      <c r="C965" s="429">
        <v>19</v>
      </c>
      <c r="D965" s="429">
        <v>90</v>
      </c>
      <c r="E965" s="431">
        <v>4.62</v>
      </c>
      <c r="F965" s="431">
        <v>5.21</v>
      </c>
      <c r="G965" s="431">
        <v>5.5</v>
      </c>
      <c r="H965" s="431">
        <v>5.03</v>
      </c>
      <c r="I965" s="431">
        <v>4.63</v>
      </c>
      <c r="J965" s="431">
        <v>4.47</v>
      </c>
      <c r="K965" s="431">
        <v>4.37</v>
      </c>
      <c r="L965" s="431">
        <v>4.1100000000000003</v>
      </c>
      <c r="M965" s="431">
        <v>3.98</v>
      </c>
      <c r="N965" s="431">
        <v>4.26</v>
      </c>
      <c r="O965" s="431">
        <v>4.54</v>
      </c>
      <c r="P965" s="431">
        <v>4.2300000000000004</v>
      </c>
      <c r="Q965" s="179">
        <f t="shared" si="29"/>
        <v>4.5791666666666657</v>
      </c>
      <c r="R965" s="179" t="s">
        <v>993</v>
      </c>
    </row>
    <row r="966" spans="1:18" x14ac:dyDescent="0.15">
      <c r="A966" s="179" t="str">
        <f t="shared" si="28"/>
        <v>Iztacalco_Optimal Year Round_112.5</v>
      </c>
      <c r="B966" s="501" t="s">
        <v>1145</v>
      </c>
      <c r="C966" s="429">
        <v>19</v>
      </c>
      <c r="D966" s="429">
        <v>112.5</v>
      </c>
      <c r="E966" s="431">
        <v>5.0599999999999996</v>
      </c>
      <c r="F966" s="431">
        <v>5.7</v>
      </c>
      <c r="G966" s="431">
        <v>6.02</v>
      </c>
      <c r="H966" s="431">
        <v>5.5</v>
      </c>
      <c r="I966" s="431">
        <v>5.07</v>
      </c>
      <c r="J966" s="431">
        <v>4.8899999999999997</v>
      </c>
      <c r="K966" s="431">
        <v>4.78</v>
      </c>
      <c r="L966" s="431">
        <v>4.5</v>
      </c>
      <c r="M966" s="431">
        <v>4.3499999999999996</v>
      </c>
      <c r="N966" s="431">
        <v>4.66</v>
      </c>
      <c r="O966" s="431">
        <v>4.97</v>
      </c>
      <c r="P966" s="431">
        <v>4.63</v>
      </c>
      <c r="Q966" s="179">
        <f t="shared" si="29"/>
        <v>5.0108333333333333</v>
      </c>
      <c r="R966" s="179" t="s">
        <v>993</v>
      </c>
    </row>
    <row r="967" spans="1:18" x14ac:dyDescent="0.15">
      <c r="A967" s="179" t="str">
        <f t="shared" si="28"/>
        <v>Iztacalco_Optimal Year Round_135</v>
      </c>
      <c r="B967" s="501" t="s">
        <v>1145</v>
      </c>
      <c r="C967" s="429">
        <v>19</v>
      </c>
      <c r="D967" s="429">
        <v>135</v>
      </c>
      <c r="E967" s="431">
        <v>5.49</v>
      </c>
      <c r="F967" s="431">
        <v>6.18</v>
      </c>
      <c r="G967" s="431">
        <v>6.54</v>
      </c>
      <c r="H967" s="431">
        <v>5.98</v>
      </c>
      <c r="I967" s="431">
        <v>5.5</v>
      </c>
      <c r="J967" s="431">
        <v>5.31</v>
      </c>
      <c r="K967" s="431">
        <v>5.19</v>
      </c>
      <c r="L967" s="431">
        <v>4.88</v>
      </c>
      <c r="M967" s="431">
        <v>4.72</v>
      </c>
      <c r="N967" s="431">
        <v>5.0599999999999996</v>
      </c>
      <c r="O967" s="431">
        <v>5.4</v>
      </c>
      <c r="P967" s="431">
        <v>5.03</v>
      </c>
      <c r="Q967" s="179">
        <f t="shared" si="29"/>
        <v>5.44</v>
      </c>
      <c r="R967" s="179" t="s">
        <v>993</v>
      </c>
    </row>
    <row r="968" spans="1:18" x14ac:dyDescent="0.15">
      <c r="A968" s="179" t="str">
        <f t="shared" si="28"/>
        <v>Iztacalco_Optimal Year Round_157.5</v>
      </c>
      <c r="B968" s="501" t="s">
        <v>1145</v>
      </c>
      <c r="C968" s="429">
        <v>19</v>
      </c>
      <c r="D968" s="429">
        <v>157.5</v>
      </c>
      <c r="E968" s="431">
        <v>5.64</v>
      </c>
      <c r="F968" s="431">
        <v>6.35</v>
      </c>
      <c r="G968" s="431">
        <v>6.71</v>
      </c>
      <c r="H968" s="431">
        <v>6.13</v>
      </c>
      <c r="I968" s="431">
        <v>5.65</v>
      </c>
      <c r="J968" s="431">
        <v>5.45</v>
      </c>
      <c r="K968" s="431">
        <v>5.32</v>
      </c>
      <c r="L968" s="431">
        <v>5.01</v>
      </c>
      <c r="M968" s="431">
        <v>4.8499999999999996</v>
      </c>
      <c r="N968" s="431">
        <v>5.2</v>
      </c>
      <c r="O968" s="431">
        <v>5.54</v>
      </c>
      <c r="P968" s="431">
        <v>5.16</v>
      </c>
      <c r="Q968" s="179">
        <f t="shared" si="29"/>
        <v>5.5841666666666674</v>
      </c>
      <c r="R968" s="179" t="s">
        <v>993</v>
      </c>
    </row>
    <row r="969" spans="1:18" x14ac:dyDescent="0.15">
      <c r="A969" s="179" t="str">
        <f t="shared" si="28"/>
        <v>Iztacalco_Optimal Year Round_180</v>
      </c>
      <c r="B969" s="501" t="s">
        <v>1145</v>
      </c>
      <c r="C969" s="429">
        <v>19</v>
      </c>
      <c r="D969" s="429">
        <v>180</v>
      </c>
      <c r="E969" s="431">
        <v>5.78</v>
      </c>
      <c r="F969" s="431">
        <v>6.51</v>
      </c>
      <c r="G969" s="431">
        <v>6.88</v>
      </c>
      <c r="H969" s="431">
        <v>6.29</v>
      </c>
      <c r="I969" s="431">
        <v>5.79</v>
      </c>
      <c r="J969" s="431">
        <v>5.59</v>
      </c>
      <c r="K969" s="431">
        <v>5.46</v>
      </c>
      <c r="L969" s="431">
        <v>5.14</v>
      </c>
      <c r="M969" s="431">
        <v>4.97</v>
      </c>
      <c r="N969" s="431">
        <v>5.33</v>
      </c>
      <c r="O969" s="431">
        <v>5.68</v>
      </c>
      <c r="P969" s="431">
        <v>5.29</v>
      </c>
      <c r="Q969" s="179">
        <f t="shared" si="29"/>
        <v>5.7258333333333331</v>
      </c>
      <c r="R969" s="179" t="s">
        <v>993</v>
      </c>
    </row>
    <row r="970" spans="1:18" x14ac:dyDescent="0.15">
      <c r="A970" s="179" t="str">
        <f t="shared" si="28"/>
        <v>Iztacalco_Optimal Year Round_202.5</v>
      </c>
      <c r="B970" s="501" t="s">
        <v>1145</v>
      </c>
      <c r="C970" s="429">
        <v>19</v>
      </c>
      <c r="D970" s="429">
        <v>202.5</v>
      </c>
      <c r="E970" s="431">
        <v>5.64</v>
      </c>
      <c r="F970" s="431">
        <v>6.35</v>
      </c>
      <c r="G970" s="431">
        <v>6.71</v>
      </c>
      <c r="H970" s="431">
        <v>6.13</v>
      </c>
      <c r="I970" s="431">
        <v>5.65</v>
      </c>
      <c r="J970" s="431">
        <v>5.45</v>
      </c>
      <c r="K970" s="431">
        <v>5.32</v>
      </c>
      <c r="L970" s="431">
        <v>5.01</v>
      </c>
      <c r="M970" s="431">
        <v>4.8499999999999996</v>
      </c>
      <c r="N970" s="431">
        <v>5.2</v>
      </c>
      <c r="O970" s="431">
        <v>5.54</v>
      </c>
      <c r="P970" s="431">
        <v>5.16</v>
      </c>
      <c r="Q970" s="179">
        <f t="shared" si="29"/>
        <v>5.5841666666666674</v>
      </c>
      <c r="R970" s="179" t="s">
        <v>993</v>
      </c>
    </row>
    <row r="971" spans="1:18" x14ac:dyDescent="0.15">
      <c r="A971" s="179" t="str">
        <f t="shared" si="28"/>
        <v>Iztacalco_Optimal Year Round_225</v>
      </c>
      <c r="B971" s="501" t="s">
        <v>1145</v>
      </c>
      <c r="C971" s="429">
        <v>19</v>
      </c>
      <c r="D971" s="429">
        <v>225</v>
      </c>
      <c r="E971" s="431">
        <v>5.49</v>
      </c>
      <c r="F971" s="431">
        <v>6.18</v>
      </c>
      <c r="G971" s="431">
        <v>6.54</v>
      </c>
      <c r="H971" s="431">
        <v>5.98</v>
      </c>
      <c r="I971" s="431">
        <v>5.5</v>
      </c>
      <c r="J971" s="431">
        <v>5.31</v>
      </c>
      <c r="K971" s="431">
        <v>5.19</v>
      </c>
      <c r="L971" s="431">
        <v>4.88</v>
      </c>
      <c r="M971" s="431">
        <v>4.72</v>
      </c>
      <c r="N971" s="431">
        <v>5.0599999999999996</v>
      </c>
      <c r="O971" s="431">
        <v>5.4</v>
      </c>
      <c r="P971" s="431">
        <v>5.03</v>
      </c>
      <c r="Q971" s="179">
        <f t="shared" si="29"/>
        <v>5.44</v>
      </c>
      <c r="R971" s="179" t="s">
        <v>993</v>
      </c>
    </row>
    <row r="972" spans="1:18" x14ac:dyDescent="0.15">
      <c r="A972" s="179" t="str">
        <f t="shared" si="28"/>
        <v>Iztacalco_Optimal Year Round_247.5</v>
      </c>
      <c r="B972" s="501" t="s">
        <v>1145</v>
      </c>
      <c r="C972" s="429">
        <v>19</v>
      </c>
      <c r="D972" s="429">
        <v>247.5</v>
      </c>
      <c r="E972" s="431">
        <v>5.0599999999999996</v>
      </c>
      <c r="F972" s="431">
        <v>5.7</v>
      </c>
      <c r="G972" s="431">
        <v>6.02</v>
      </c>
      <c r="H972" s="431">
        <v>5.5</v>
      </c>
      <c r="I972" s="431">
        <v>5.07</v>
      </c>
      <c r="J972" s="431">
        <v>4.8899999999999997</v>
      </c>
      <c r="K972" s="431">
        <v>4.78</v>
      </c>
      <c r="L972" s="431">
        <v>4.5</v>
      </c>
      <c r="M972" s="431">
        <v>4.3499999999999996</v>
      </c>
      <c r="N972" s="431">
        <v>4.66</v>
      </c>
      <c r="O972" s="431">
        <v>4.97</v>
      </c>
      <c r="P972" s="431">
        <v>4.63</v>
      </c>
      <c r="Q972" s="179">
        <f t="shared" si="29"/>
        <v>5.0108333333333333</v>
      </c>
      <c r="R972" s="179" t="s">
        <v>993</v>
      </c>
    </row>
    <row r="973" spans="1:18" x14ac:dyDescent="0.15">
      <c r="A973" s="179" t="str">
        <f t="shared" si="28"/>
        <v>Iztacalco_Optimal Year Round_270</v>
      </c>
      <c r="B973" s="501" t="s">
        <v>1145</v>
      </c>
      <c r="C973" s="429">
        <v>19</v>
      </c>
      <c r="D973" s="429">
        <v>270</v>
      </c>
      <c r="E973" s="431">
        <v>4.62</v>
      </c>
      <c r="F973" s="431">
        <v>5.21</v>
      </c>
      <c r="G973" s="431">
        <v>5.5</v>
      </c>
      <c r="H973" s="431">
        <v>5.03</v>
      </c>
      <c r="I973" s="431">
        <v>4.63</v>
      </c>
      <c r="J973" s="431">
        <v>4.47</v>
      </c>
      <c r="K973" s="431">
        <v>4.37</v>
      </c>
      <c r="L973" s="431">
        <v>4.1100000000000003</v>
      </c>
      <c r="M973" s="431">
        <v>3.98</v>
      </c>
      <c r="N973" s="431">
        <v>4.26</v>
      </c>
      <c r="O973" s="431">
        <v>4.54</v>
      </c>
      <c r="P973" s="431">
        <v>4.2300000000000004</v>
      </c>
      <c r="Q973" s="179">
        <f t="shared" si="29"/>
        <v>4.5791666666666657</v>
      </c>
      <c r="R973" s="179" t="s">
        <v>993</v>
      </c>
    </row>
    <row r="974" spans="1:18" x14ac:dyDescent="0.15">
      <c r="A974" s="179" t="str">
        <f t="shared" si="28"/>
        <v>Iztapalapa_Flat Surface_90</v>
      </c>
      <c r="B974" s="501" t="s">
        <v>1146</v>
      </c>
      <c r="C974" s="429">
        <v>0</v>
      </c>
      <c r="D974" s="429">
        <v>90</v>
      </c>
      <c r="E974" s="431">
        <v>4.74</v>
      </c>
      <c r="F974" s="431">
        <v>5.68</v>
      </c>
      <c r="G974" s="431">
        <v>6.47</v>
      </c>
      <c r="H974" s="431">
        <v>6.38</v>
      </c>
      <c r="I974" s="431">
        <v>6.21</v>
      </c>
      <c r="J974" s="431">
        <v>5.57</v>
      </c>
      <c r="K974" s="431">
        <v>5.48</v>
      </c>
      <c r="L974" s="431">
        <v>5.31</v>
      </c>
      <c r="M974" s="431">
        <v>4.88</v>
      </c>
      <c r="N974" s="431">
        <v>4.87</v>
      </c>
      <c r="O974" s="431">
        <v>4.7699999999999996</v>
      </c>
      <c r="P974" s="431">
        <v>4.34</v>
      </c>
      <c r="Q974" s="179">
        <f t="shared" si="29"/>
        <v>5.3916666666666666</v>
      </c>
      <c r="R974" s="179" t="s">
        <v>994</v>
      </c>
    </row>
    <row r="975" spans="1:18" x14ac:dyDescent="0.15">
      <c r="A975" s="179" t="str">
        <f t="shared" si="28"/>
        <v>Iztapalapa_Flat Surface_112.5</v>
      </c>
      <c r="B975" s="501" t="s">
        <v>1146</v>
      </c>
      <c r="C975" s="429">
        <v>0</v>
      </c>
      <c r="D975" s="429">
        <v>112.5</v>
      </c>
      <c r="E975" s="431">
        <v>4.74</v>
      </c>
      <c r="F975" s="431">
        <v>5.68</v>
      </c>
      <c r="G975" s="431">
        <v>6.47</v>
      </c>
      <c r="H975" s="431">
        <v>6.38</v>
      </c>
      <c r="I975" s="431">
        <v>6.21</v>
      </c>
      <c r="J975" s="431">
        <v>5.57</v>
      </c>
      <c r="K975" s="431">
        <v>5.48</v>
      </c>
      <c r="L975" s="431">
        <v>5.31</v>
      </c>
      <c r="M975" s="431">
        <v>4.88</v>
      </c>
      <c r="N975" s="431">
        <v>4.87</v>
      </c>
      <c r="O975" s="431">
        <v>4.7699999999999996</v>
      </c>
      <c r="P975" s="431">
        <v>4.34</v>
      </c>
      <c r="Q975" s="179">
        <f t="shared" si="29"/>
        <v>5.3916666666666666</v>
      </c>
      <c r="R975" s="179" t="s">
        <v>994</v>
      </c>
    </row>
    <row r="976" spans="1:18" x14ac:dyDescent="0.15">
      <c r="A976" s="179" t="str">
        <f t="shared" si="28"/>
        <v>Iztapalapa_Flat Surface_135</v>
      </c>
      <c r="B976" s="501" t="s">
        <v>1146</v>
      </c>
      <c r="C976" s="429">
        <v>0</v>
      </c>
      <c r="D976" s="429">
        <v>135</v>
      </c>
      <c r="E976" s="431">
        <v>4.74</v>
      </c>
      <c r="F976" s="431">
        <v>5.68</v>
      </c>
      <c r="G976" s="431">
        <v>6.47</v>
      </c>
      <c r="H976" s="431">
        <v>6.38</v>
      </c>
      <c r="I976" s="431">
        <v>6.21</v>
      </c>
      <c r="J976" s="431">
        <v>5.57</v>
      </c>
      <c r="K976" s="431">
        <v>5.48</v>
      </c>
      <c r="L976" s="431">
        <v>5.31</v>
      </c>
      <c r="M976" s="431">
        <v>4.88</v>
      </c>
      <c r="N976" s="431">
        <v>4.87</v>
      </c>
      <c r="O976" s="431">
        <v>4.7699999999999996</v>
      </c>
      <c r="P976" s="431">
        <v>4.34</v>
      </c>
      <c r="Q976" s="179">
        <f t="shared" si="29"/>
        <v>5.3916666666666666</v>
      </c>
      <c r="R976" s="179" t="s">
        <v>994</v>
      </c>
    </row>
    <row r="977" spans="1:18" x14ac:dyDescent="0.15">
      <c r="A977" s="179" t="str">
        <f t="shared" si="28"/>
        <v>Iztapalapa_Flat Surface_157.5</v>
      </c>
      <c r="B977" s="501" t="s">
        <v>1146</v>
      </c>
      <c r="C977" s="429">
        <v>0</v>
      </c>
      <c r="D977" s="429">
        <v>157.5</v>
      </c>
      <c r="E977" s="431">
        <v>4.74</v>
      </c>
      <c r="F977" s="431">
        <v>5.68</v>
      </c>
      <c r="G977" s="431">
        <v>6.47</v>
      </c>
      <c r="H977" s="431">
        <v>6.38</v>
      </c>
      <c r="I977" s="431">
        <v>6.21</v>
      </c>
      <c r="J977" s="431">
        <v>5.57</v>
      </c>
      <c r="K977" s="431">
        <v>5.48</v>
      </c>
      <c r="L977" s="431">
        <v>5.31</v>
      </c>
      <c r="M977" s="431">
        <v>4.88</v>
      </c>
      <c r="N977" s="431">
        <v>4.87</v>
      </c>
      <c r="O977" s="431">
        <v>4.7699999999999996</v>
      </c>
      <c r="P977" s="431">
        <v>4.34</v>
      </c>
      <c r="Q977" s="179">
        <f t="shared" si="29"/>
        <v>5.3916666666666666</v>
      </c>
      <c r="R977" s="179" t="s">
        <v>994</v>
      </c>
    </row>
    <row r="978" spans="1:18" x14ac:dyDescent="0.15">
      <c r="A978" s="179" t="str">
        <f t="shared" si="28"/>
        <v>Iztapalapa_Flat Surface_180</v>
      </c>
      <c r="B978" s="501" t="s">
        <v>1146</v>
      </c>
      <c r="C978" s="429">
        <v>0</v>
      </c>
      <c r="D978" s="429">
        <v>180</v>
      </c>
      <c r="E978" s="431">
        <v>4.74</v>
      </c>
      <c r="F978" s="431">
        <v>5.68</v>
      </c>
      <c r="G978" s="431">
        <v>6.47</v>
      </c>
      <c r="H978" s="431">
        <v>6.38</v>
      </c>
      <c r="I978" s="431">
        <v>6.21</v>
      </c>
      <c r="J978" s="431">
        <v>5.57</v>
      </c>
      <c r="K978" s="431">
        <v>5.48</v>
      </c>
      <c r="L978" s="431">
        <v>5.31</v>
      </c>
      <c r="M978" s="431">
        <v>4.88</v>
      </c>
      <c r="N978" s="431">
        <v>4.87</v>
      </c>
      <c r="O978" s="431">
        <v>4.7699999999999996</v>
      </c>
      <c r="P978" s="431">
        <v>4.34</v>
      </c>
      <c r="Q978" s="179">
        <f t="shared" si="29"/>
        <v>5.3916666666666666</v>
      </c>
      <c r="R978" s="179" t="s">
        <v>994</v>
      </c>
    </row>
    <row r="979" spans="1:18" x14ac:dyDescent="0.15">
      <c r="A979" s="179" t="str">
        <f t="shared" si="28"/>
        <v>Iztapalapa_Flat Surface_202.5</v>
      </c>
      <c r="B979" s="501" t="s">
        <v>1146</v>
      </c>
      <c r="C979" s="429">
        <v>0</v>
      </c>
      <c r="D979" s="429">
        <v>202.5</v>
      </c>
      <c r="E979" s="431">
        <v>4.74</v>
      </c>
      <c r="F979" s="431">
        <v>5.68</v>
      </c>
      <c r="G979" s="431">
        <v>6.47</v>
      </c>
      <c r="H979" s="431">
        <v>6.38</v>
      </c>
      <c r="I979" s="431">
        <v>6.21</v>
      </c>
      <c r="J979" s="431">
        <v>5.57</v>
      </c>
      <c r="K979" s="431">
        <v>5.48</v>
      </c>
      <c r="L979" s="431">
        <v>5.31</v>
      </c>
      <c r="M979" s="431">
        <v>4.88</v>
      </c>
      <c r="N979" s="431">
        <v>4.87</v>
      </c>
      <c r="O979" s="431">
        <v>4.7699999999999996</v>
      </c>
      <c r="P979" s="431">
        <v>4.34</v>
      </c>
      <c r="Q979" s="179">
        <f t="shared" si="29"/>
        <v>5.3916666666666666</v>
      </c>
      <c r="R979" s="179" t="s">
        <v>994</v>
      </c>
    </row>
    <row r="980" spans="1:18" x14ac:dyDescent="0.15">
      <c r="A980" s="179" t="str">
        <f t="shared" si="28"/>
        <v>Iztapalapa_Flat Surface_225</v>
      </c>
      <c r="B980" s="501" t="s">
        <v>1146</v>
      </c>
      <c r="C980" s="429">
        <v>0</v>
      </c>
      <c r="D980" s="429">
        <v>225</v>
      </c>
      <c r="E980" s="431">
        <v>4.74</v>
      </c>
      <c r="F980" s="431">
        <v>5.68</v>
      </c>
      <c r="G980" s="431">
        <v>6.47</v>
      </c>
      <c r="H980" s="431">
        <v>6.38</v>
      </c>
      <c r="I980" s="431">
        <v>6.21</v>
      </c>
      <c r="J980" s="431">
        <v>5.57</v>
      </c>
      <c r="K980" s="431">
        <v>5.48</v>
      </c>
      <c r="L980" s="431">
        <v>5.31</v>
      </c>
      <c r="M980" s="431">
        <v>4.88</v>
      </c>
      <c r="N980" s="431">
        <v>4.87</v>
      </c>
      <c r="O980" s="431">
        <v>4.7699999999999996</v>
      </c>
      <c r="P980" s="431">
        <v>4.34</v>
      </c>
      <c r="Q980" s="179">
        <f t="shared" si="29"/>
        <v>5.3916666666666666</v>
      </c>
      <c r="R980" s="179" t="s">
        <v>994</v>
      </c>
    </row>
    <row r="981" spans="1:18" x14ac:dyDescent="0.15">
      <c r="A981" s="179" t="str">
        <f t="shared" si="28"/>
        <v>Iztapalapa_Flat Surface_247.5</v>
      </c>
      <c r="B981" s="501" t="s">
        <v>1146</v>
      </c>
      <c r="C981" s="429">
        <v>0</v>
      </c>
      <c r="D981" s="429">
        <v>247.5</v>
      </c>
      <c r="E981" s="431">
        <v>4.74</v>
      </c>
      <c r="F981" s="431">
        <v>5.68</v>
      </c>
      <c r="G981" s="431">
        <v>6.47</v>
      </c>
      <c r="H981" s="431">
        <v>6.38</v>
      </c>
      <c r="I981" s="431">
        <v>6.21</v>
      </c>
      <c r="J981" s="431">
        <v>5.57</v>
      </c>
      <c r="K981" s="431">
        <v>5.48</v>
      </c>
      <c r="L981" s="431">
        <v>5.31</v>
      </c>
      <c r="M981" s="431">
        <v>4.88</v>
      </c>
      <c r="N981" s="431">
        <v>4.87</v>
      </c>
      <c r="O981" s="431">
        <v>4.7699999999999996</v>
      </c>
      <c r="P981" s="431">
        <v>4.34</v>
      </c>
      <c r="Q981" s="179">
        <f t="shared" si="29"/>
        <v>5.3916666666666666</v>
      </c>
      <c r="R981" s="179" t="s">
        <v>994</v>
      </c>
    </row>
    <row r="982" spans="1:18" x14ac:dyDescent="0.15">
      <c r="A982" s="179" t="str">
        <f t="shared" si="28"/>
        <v>Iztapalapa_Flat Surface_270</v>
      </c>
      <c r="B982" s="501" t="s">
        <v>1146</v>
      </c>
      <c r="C982" s="429">
        <v>0</v>
      </c>
      <c r="D982" s="429">
        <v>270</v>
      </c>
      <c r="E982" s="431">
        <v>4.74</v>
      </c>
      <c r="F982" s="431">
        <v>5.68</v>
      </c>
      <c r="G982" s="431">
        <v>6.47</v>
      </c>
      <c r="H982" s="431">
        <v>6.38</v>
      </c>
      <c r="I982" s="431">
        <v>6.21</v>
      </c>
      <c r="J982" s="431">
        <v>5.57</v>
      </c>
      <c r="K982" s="431">
        <v>5.48</v>
      </c>
      <c r="L982" s="431">
        <v>5.31</v>
      </c>
      <c r="M982" s="431">
        <v>4.88</v>
      </c>
      <c r="N982" s="431">
        <v>4.87</v>
      </c>
      <c r="O982" s="431">
        <v>4.7699999999999996</v>
      </c>
      <c r="P982" s="431">
        <v>4.34</v>
      </c>
      <c r="Q982" s="179">
        <f t="shared" si="29"/>
        <v>5.3916666666666666</v>
      </c>
      <c r="R982" s="179" t="s">
        <v>994</v>
      </c>
    </row>
    <row r="983" spans="1:18" x14ac:dyDescent="0.15">
      <c r="A983" s="179" t="str">
        <f t="shared" si="28"/>
        <v>Iztapalapa_Optimal Summer_90</v>
      </c>
      <c r="B983" s="501" t="s">
        <v>1146</v>
      </c>
      <c r="C983" s="429">
        <v>4</v>
      </c>
      <c r="D983" s="429">
        <v>90</v>
      </c>
      <c r="E983" s="431">
        <v>4</v>
      </c>
      <c r="F983" s="431">
        <v>4.72</v>
      </c>
      <c r="G983" s="431">
        <v>5.29</v>
      </c>
      <c r="H983" s="431">
        <v>5.13</v>
      </c>
      <c r="I983" s="431">
        <v>4.93</v>
      </c>
      <c r="J983" s="431">
        <v>4.49</v>
      </c>
      <c r="K983" s="431">
        <v>4.41</v>
      </c>
      <c r="L983" s="431">
        <v>4.25</v>
      </c>
      <c r="M983" s="431">
        <v>3.94</v>
      </c>
      <c r="N983" s="431">
        <v>4</v>
      </c>
      <c r="O983" s="431">
        <v>4</v>
      </c>
      <c r="P983" s="431">
        <v>3.66</v>
      </c>
      <c r="Q983" s="179">
        <f t="shared" si="29"/>
        <v>4.4016666666666664</v>
      </c>
      <c r="R983" s="179" t="s">
        <v>958</v>
      </c>
    </row>
    <row r="984" spans="1:18" x14ac:dyDescent="0.15">
      <c r="A984" s="179" t="str">
        <f t="shared" si="28"/>
        <v>Iztapalapa_Optimal Summer_112.5</v>
      </c>
      <c r="B984" s="501" t="s">
        <v>1146</v>
      </c>
      <c r="C984" s="429">
        <v>4</v>
      </c>
      <c r="D984" s="429">
        <v>112.5</v>
      </c>
      <c r="E984" s="431">
        <v>4.38</v>
      </c>
      <c r="F984" s="431">
        <v>5.16</v>
      </c>
      <c r="G984" s="431">
        <v>5.78</v>
      </c>
      <c r="H984" s="431">
        <v>5.61</v>
      </c>
      <c r="I984" s="431">
        <v>5.39</v>
      </c>
      <c r="J984" s="431">
        <v>4.91</v>
      </c>
      <c r="K984" s="431">
        <v>4.82</v>
      </c>
      <c r="L984" s="431">
        <v>4.6500000000000004</v>
      </c>
      <c r="M984" s="431">
        <v>4.3099999999999996</v>
      </c>
      <c r="N984" s="431">
        <v>4.38</v>
      </c>
      <c r="O984" s="431">
        <v>4.38</v>
      </c>
      <c r="P984" s="431">
        <v>4</v>
      </c>
      <c r="Q984" s="179">
        <f t="shared" si="29"/>
        <v>4.8141666666666669</v>
      </c>
      <c r="R984" s="179" t="s">
        <v>958</v>
      </c>
    </row>
    <row r="985" spans="1:18" x14ac:dyDescent="0.15">
      <c r="A985" s="179" t="str">
        <f t="shared" si="28"/>
        <v>Iztapalapa_Optimal Summer_135</v>
      </c>
      <c r="B985" s="501" t="s">
        <v>1146</v>
      </c>
      <c r="C985" s="429">
        <v>4</v>
      </c>
      <c r="D985" s="429">
        <v>135</v>
      </c>
      <c r="E985" s="431">
        <v>4.75</v>
      </c>
      <c r="F985" s="431">
        <v>5.6</v>
      </c>
      <c r="G985" s="431">
        <v>6.28</v>
      </c>
      <c r="H985" s="431">
        <v>6.09</v>
      </c>
      <c r="I985" s="431">
        <v>5.85</v>
      </c>
      <c r="J985" s="431">
        <v>5.33</v>
      </c>
      <c r="K985" s="431">
        <v>5.23</v>
      </c>
      <c r="L985" s="431">
        <v>5.04</v>
      </c>
      <c r="M985" s="431">
        <v>4.68</v>
      </c>
      <c r="N985" s="431">
        <v>4.75</v>
      </c>
      <c r="O985" s="431">
        <v>4.75</v>
      </c>
      <c r="P985" s="431">
        <v>4.34</v>
      </c>
      <c r="Q985" s="179">
        <f t="shared" si="29"/>
        <v>5.2241666666666662</v>
      </c>
      <c r="R985" s="179" t="s">
        <v>958</v>
      </c>
    </row>
    <row r="986" spans="1:18" x14ac:dyDescent="0.15">
      <c r="A986" s="179" t="str">
        <f t="shared" si="28"/>
        <v>Iztapalapa_Optimal Summer_157.5</v>
      </c>
      <c r="B986" s="501" t="s">
        <v>1146</v>
      </c>
      <c r="C986" s="429">
        <v>4</v>
      </c>
      <c r="D986" s="429">
        <v>157.5</v>
      </c>
      <c r="E986" s="431">
        <v>4.88</v>
      </c>
      <c r="F986" s="431">
        <v>5.75</v>
      </c>
      <c r="G986" s="431">
        <v>6.44</v>
      </c>
      <c r="H986" s="431">
        <v>6.25</v>
      </c>
      <c r="I986" s="431">
        <v>6.01</v>
      </c>
      <c r="J986" s="431">
        <v>5.47</v>
      </c>
      <c r="K986" s="431">
        <v>5.37</v>
      </c>
      <c r="L986" s="431">
        <v>5.18</v>
      </c>
      <c r="M986" s="431">
        <v>4.8099999999999996</v>
      </c>
      <c r="N986" s="431">
        <v>4.88</v>
      </c>
      <c r="O986" s="431">
        <v>4.88</v>
      </c>
      <c r="P986" s="431">
        <v>4.46</v>
      </c>
      <c r="Q986" s="179">
        <f t="shared" si="29"/>
        <v>5.3649999999999993</v>
      </c>
      <c r="R986" s="179" t="s">
        <v>958</v>
      </c>
    </row>
    <row r="987" spans="1:18" x14ac:dyDescent="0.15">
      <c r="A987" s="179" t="str">
        <f t="shared" si="28"/>
        <v>Iztapalapa_Optimal Summer_180</v>
      </c>
      <c r="B987" s="501" t="s">
        <v>1146</v>
      </c>
      <c r="C987" s="429">
        <v>4</v>
      </c>
      <c r="D987" s="429">
        <v>180</v>
      </c>
      <c r="E987" s="431">
        <v>5</v>
      </c>
      <c r="F987" s="431">
        <v>5.9</v>
      </c>
      <c r="G987" s="431">
        <v>6.61</v>
      </c>
      <c r="H987" s="431">
        <v>6.41</v>
      </c>
      <c r="I987" s="431">
        <v>6.16</v>
      </c>
      <c r="J987" s="431">
        <v>5.61</v>
      </c>
      <c r="K987" s="431">
        <v>5.51</v>
      </c>
      <c r="L987" s="431">
        <v>5.31</v>
      </c>
      <c r="M987" s="431">
        <v>4.93</v>
      </c>
      <c r="N987" s="431">
        <v>5</v>
      </c>
      <c r="O987" s="431">
        <v>5</v>
      </c>
      <c r="P987" s="431">
        <v>4.57</v>
      </c>
      <c r="Q987" s="179">
        <f t="shared" si="29"/>
        <v>5.5008333333333335</v>
      </c>
      <c r="R987" s="179" t="s">
        <v>958</v>
      </c>
    </row>
    <row r="988" spans="1:18" x14ac:dyDescent="0.15">
      <c r="A988" s="179" t="str">
        <f t="shared" si="28"/>
        <v>Iztapalapa_Optimal Summer_202.5</v>
      </c>
      <c r="B988" s="501" t="s">
        <v>1146</v>
      </c>
      <c r="C988" s="429">
        <v>4</v>
      </c>
      <c r="D988" s="429">
        <v>202.5</v>
      </c>
      <c r="E988" s="431">
        <v>4.88</v>
      </c>
      <c r="F988" s="431">
        <v>5.75</v>
      </c>
      <c r="G988" s="431">
        <v>6.44</v>
      </c>
      <c r="H988" s="431">
        <v>6.25</v>
      </c>
      <c r="I988" s="431">
        <v>6.01</v>
      </c>
      <c r="J988" s="431">
        <v>5.47</v>
      </c>
      <c r="K988" s="431">
        <v>5.37</v>
      </c>
      <c r="L988" s="431">
        <v>5.18</v>
      </c>
      <c r="M988" s="431">
        <v>4.8099999999999996</v>
      </c>
      <c r="N988" s="431">
        <v>4.88</v>
      </c>
      <c r="O988" s="431">
        <v>4.88</v>
      </c>
      <c r="P988" s="431">
        <v>4.46</v>
      </c>
      <c r="Q988" s="179">
        <f t="shared" si="29"/>
        <v>5.3649999999999993</v>
      </c>
      <c r="R988" s="179" t="s">
        <v>958</v>
      </c>
    </row>
    <row r="989" spans="1:18" x14ac:dyDescent="0.15">
      <c r="A989" s="179" t="str">
        <f t="shared" si="28"/>
        <v>Iztapalapa_Optimal Summer_225</v>
      </c>
      <c r="B989" s="501" t="s">
        <v>1146</v>
      </c>
      <c r="C989" s="429">
        <v>4</v>
      </c>
      <c r="D989" s="429">
        <v>225</v>
      </c>
      <c r="E989" s="431">
        <v>4.75</v>
      </c>
      <c r="F989" s="431">
        <v>5.6</v>
      </c>
      <c r="G989" s="431">
        <v>6.28</v>
      </c>
      <c r="H989" s="431">
        <v>6.09</v>
      </c>
      <c r="I989" s="431">
        <v>5.85</v>
      </c>
      <c r="J989" s="431">
        <v>5.33</v>
      </c>
      <c r="K989" s="431">
        <v>5.23</v>
      </c>
      <c r="L989" s="431">
        <v>5.04</v>
      </c>
      <c r="M989" s="431">
        <v>4.68</v>
      </c>
      <c r="N989" s="431">
        <v>4.75</v>
      </c>
      <c r="O989" s="431">
        <v>4.75</v>
      </c>
      <c r="P989" s="431">
        <v>4.34</v>
      </c>
      <c r="Q989" s="179">
        <f t="shared" si="29"/>
        <v>5.2241666666666662</v>
      </c>
      <c r="R989" s="179" t="s">
        <v>958</v>
      </c>
    </row>
    <row r="990" spans="1:18" x14ac:dyDescent="0.15">
      <c r="A990" s="179" t="str">
        <f t="shared" si="28"/>
        <v>Iztapalapa_Optimal Summer_247.5</v>
      </c>
      <c r="B990" s="501" t="s">
        <v>1146</v>
      </c>
      <c r="C990" s="429">
        <v>4</v>
      </c>
      <c r="D990" s="429">
        <v>247.5</v>
      </c>
      <c r="E990" s="431">
        <v>4.38</v>
      </c>
      <c r="F990" s="431">
        <v>5.16</v>
      </c>
      <c r="G990" s="431">
        <v>5.78</v>
      </c>
      <c r="H990" s="431">
        <v>5.61</v>
      </c>
      <c r="I990" s="431">
        <v>5.39</v>
      </c>
      <c r="J990" s="431">
        <v>4.91</v>
      </c>
      <c r="K990" s="431">
        <v>4.82</v>
      </c>
      <c r="L990" s="431">
        <v>4.6500000000000004</v>
      </c>
      <c r="M990" s="431">
        <v>4.3099999999999996</v>
      </c>
      <c r="N990" s="431">
        <v>4.38</v>
      </c>
      <c r="O990" s="431">
        <v>4.38</v>
      </c>
      <c r="P990" s="431">
        <v>4</v>
      </c>
      <c r="Q990" s="179">
        <f t="shared" si="29"/>
        <v>4.8141666666666669</v>
      </c>
      <c r="R990" s="179" t="s">
        <v>958</v>
      </c>
    </row>
    <row r="991" spans="1:18" x14ac:dyDescent="0.15">
      <c r="A991" s="179" t="str">
        <f t="shared" si="28"/>
        <v>Iztapalapa_Optimal Summer_270</v>
      </c>
      <c r="B991" s="501" t="s">
        <v>1146</v>
      </c>
      <c r="C991" s="429">
        <v>4</v>
      </c>
      <c r="D991" s="429">
        <v>270</v>
      </c>
      <c r="E991" s="431">
        <v>4</v>
      </c>
      <c r="F991" s="431">
        <v>4.72</v>
      </c>
      <c r="G991" s="431">
        <v>5.29</v>
      </c>
      <c r="H991" s="431">
        <v>5.13</v>
      </c>
      <c r="I991" s="431">
        <v>4.93</v>
      </c>
      <c r="J991" s="431">
        <v>4.49</v>
      </c>
      <c r="K991" s="431">
        <v>4.41</v>
      </c>
      <c r="L991" s="431">
        <v>4.25</v>
      </c>
      <c r="M991" s="431">
        <v>3.94</v>
      </c>
      <c r="N991" s="431">
        <v>4</v>
      </c>
      <c r="O991" s="431">
        <v>4</v>
      </c>
      <c r="P991" s="431">
        <v>3.66</v>
      </c>
      <c r="Q991" s="179">
        <f t="shared" si="29"/>
        <v>4.4016666666666664</v>
      </c>
      <c r="R991" s="179" t="s">
        <v>958</v>
      </c>
    </row>
    <row r="992" spans="1:18" x14ac:dyDescent="0.15">
      <c r="A992" s="179" t="str">
        <f t="shared" si="28"/>
        <v>Iztapalapa_Optimal Year Round_90</v>
      </c>
      <c r="B992" s="501" t="s">
        <v>1146</v>
      </c>
      <c r="C992" s="429">
        <v>19</v>
      </c>
      <c r="D992" s="429">
        <v>90</v>
      </c>
      <c r="E992" s="431">
        <v>4.62</v>
      </c>
      <c r="F992" s="431">
        <v>5.21</v>
      </c>
      <c r="G992" s="431">
        <v>5.5</v>
      </c>
      <c r="H992" s="431">
        <v>5.03</v>
      </c>
      <c r="I992" s="431">
        <v>4.63</v>
      </c>
      <c r="J992" s="431">
        <v>4.47</v>
      </c>
      <c r="K992" s="431">
        <v>4.37</v>
      </c>
      <c r="L992" s="431">
        <v>4.1100000000000003</v>
      </c>
      <c r="M992" s="431">
        <v>3.98</v>
      </c>
      <c r="N992" s="431">
        <v>4.26</v>
      </c>
      <c r="O992" s="431">
        <v>4.54</v>
      </c>
      <c r="P992" s="431">
        <v>4.2300000000000004</v>
      </c>
      <c r="Q992" s="179">
        <f t="shared" si="29"/>
        <v>4.5791666666666657</v>
      </c>
      <c r="R992" s="179" t="s">
        <v>993</v>
      </c>
    </row>
    <row r="993" spans="1:18" x14ac:dyDescent="0.15">
      <c r="A993" s="179" t="str">
        <f t="shared" si="28"/>
        <v>Iztapalapa_Optimal Year Round_112.5</v>
      </c>
      <c r="B993" s="501" t="s">
        <v>1146</v>
      </c>
      <c r="C993" s="429">
        <v>19</v>
      </c>
      <c r="D993" s="429">
        <v>112.5</v>
      </c>
      <c r="E993" s="431">
        <v>5.0599999999999996</v>
      </c>
      <c r="F993" s="431">
        <v>5.7</v>
      </c>
      <c r="G993" s="431">
        <v>6.02</v>
      </c>
      <c r="H993" s="431">
        <v>5.5</v>
      </c>
      <c r="I993" s="431">
        <v>5.07</v>
      </c>
      <c r="J993" s="431">
        <v>4.8899999999999997</v>
      </c>
      <c r="K993" s="431">
        <v>4.78</v>
      </c>
      <c r="L993" s="431">
        <v>4.5</v>
      </c>
      <c r="M993" s="431">
        <v>4.3499999999999996</v>
      </c>
      <c r="N993" s="431">
        <v>4.66</v>
      </c>
      <c r="O993" s="431">
        <v>4.97</v>
      </c>
      <c r="P993" s="431">
        <v>4.63</v>
      </c>
      <c r="Q993" s="179">
        <f t="shared" si="29"/>
        <v>5.0108333333333333</v>
      </c>
      <c r="R993" s="179" t="s">
        <v>993</v>
      </c>
    </row>
    <row r="994" spans="1:18" x14ac:dyDescent="0.15">
      <c r="A994" s="179" t="str">
        <f t="shared" si="28"/>
        <v>Iztapalapa_Optimal Year Round_135</v>
      </c>
      <c r="B994" s="501" t="s">
        <v>1146</v>
      </c>
      <c r="C994" s="429">
        <v>19</v>
      </c>
      <c r="D994" s="429">
        <v>135</v>
      </c>
      <c r="E994" s="431">
        <v>5.49</v>
      </c>
      <c r="F994" s="431">
        <v>6.18</v>
      </c>
      <c r="G994" s="431">
        <v>6.54</v>
      </c>
      <c r="H994" s="431">
        <v>5.98</v>
      </c>
      <c r="I994" s="431">
        <v>5.5</v>
      </c>
      <c r="J994" s="431">
        <v>5.31</v>
      </c>
      <c r="K994" s="431">
        <v>5.19</v>
      </c>
      <c r="L994" s="431">
        <v>4.88</v>
      </c>
      <c r="M994" s="431">
        <v>4.72</v>
      </c>
      <c r="N994" s="431">
        <v>5.0599999999999996</v>
      </c>
      <c r="O994" s="431">
        <v>5.4</v>
      </c>
      <c r="P994" s="431">
        <v>5.03</v>
      </c>
      <c r="Q994" s="179">
        <f t="shared" si="29"/>
        <v>5.44</v>
      </c>
      <c r="R994" s="179" t="s">
        <v>993</v>
      </c>
    </row>
    <row r="995" spans="1:18" x14ac:dyDescent="0.15">
      <c r="A995" s="179" t="str">
        <f t="shared" si="28"/>
        <v>Iztapalapa_Optimal Year Round_157.5</v>
      </c>
      <c r="B995" s="501" t="s">
        <v>1146</v>
      </c>
      <c r="C995" s="429">
        <v>19</v>
      </c>
      <c r="D995" s="429">
        <v>157.5</v>
      </c>
      <c r="E995" s="431">
        <v>5.64</v>
      </c>
      <c r="F995" s="431">
        <v>6.35</v>
      </c>
      <c r="G995" s="431">
        <v>6.71</v>
      </c>
      <c r="H995" s="431">
        <v>6.13</v>
      </c>
      <c r="I995" s="431">
        <v>5.65</v>
      </c>
      <c r="J995" s="431">
        <v>5.45</v>
      </c>
      <c r="K995" s="431">
        <v>5.32</v>
      </c>
      <c r="L995" s="431">
        <v>5.01</v>
      </c>
      <c r="M995" s="431">
        <v>4.8499999999999996</v>
      </c>
      <c r="N995" s="431">
        <v>5.2</v>
      </c>
      <c r="O995" s="431">
        <v>5.54</v>
      </c>
      <c r="P995" s="431">
        <v>5.16</v>
      </c>
      <c r="Q995" s="179">
        <f t="shared" si="29"/>
        <v>5.5841666666666674</v>
      </c>
      <c r="R995" s="179" t="s">
        <v>993</v>
      </c>
    </row>
    <row r="996" spans="1:18" x14ac:dyDescent="0.15">
      <c r="A996" s="179" t="str">
        <f t="shared" si="28"/>
        <v>Iztapalapa_Optimal Year Round_180</v>
      </c>
      <c r="B996" s="501" t="s">
        <v>1146</v>
      </c>
      <c r="C996" s="429">
        <v>19</v>
      </c>
      <c r="D996" s="429">
        <v>180</v>
      </c>
      <c r="E996" s="431">
        <v>5.78</v>
      </c>
      <c r="F996" s="431">
        <v>6.51</v>
      </c>
      <c r="G996" s="431">
        <v>6.88</v>
      </c>
      <c r="H996" s="431">
        <v>6.29</v>
      </c>
      <c r="I996" s="431">
        <v>5.79</v>
      </c>
      <c r="J996" s="431">
        <v>5.59</v>
      </c>
      <c r="K996" s="431">
        <v>5.46</v>
      </c>
      <c r="L996" s="431">
        <v>5.14</v>
      </c>
      <c r="M996" s="431">
        <v>4.97</v>
      </c>
      <c r="N996" s="431">
        <v>5.33</v>
      </c>
      <c r="O996" s="431">
        <v>5.68</v>
      </c>
      <c r="P996" s="431">
        <v>5.29</v>
      </c>
      <c r="Q996" s="179">
        <f t="shared" si="29"/>
        <v>5.7258333333333331</v>
      </c>
      <c r="R996" s="179" t="s">
        <v>993</v>
      </c>
    </row>
    <row r="997" spans="1:18" x14ac:dyDescent="0.15">
      <c r="A997" s="179" t="str">
        <f t="shared" si="28"/>
        <v>Iztapalapa_Optimal Year Round_202.5</v>
      </c>
      <c r="B997" s="501" t="s">
        <v>1146</v>
      </c>
      <c r="C997" s="429">
        <v>19</v>
      </c>
      <c r="D997" s="429">
        <v>202.5</v>
      </c>
      <c r="E997" s="431">
        <v>5.64</v>
      </c>
      <c r="F997" s="431">
        <v>6.35</v>
      </c>
      <c r="G997" s="431">
        <v>6.71</v>
      </c>
      <c r="H997" s="431">
        <v>6.13</v>
      </c>
      <c r="I997" s="431">
        <v>5.65</v>
      </c>
      <c r="J997" s="431">
        <v>5.45</v>
      </c>
      <c r="K997" s="431">
        <v>5.32</v>
      </c>
      <c r="L997" s="431">
        <v>5.01</v>
      </c>
      <c r="M997" s="431">
        <v>4.8499999999999996</v>
      </c>
      <c r="N997" s="431">
        <v>5.2</v>
      </c>
      <c r="O997" s="431">
        <v>5.54</v>
      </c>
      <c r="P997" s="431">
        <v>5.16</v>
      </c>
      <c r="Q997" s="179">
        <f t="shared" si="29"/>
        <v>5.5841666666666674</v>
      </c>
      <c r="R997" s="179" t="s">
        <v>993</v>
      </c>
    </row>
    <row r="998" spans="1:18" x14ac:dyDescent="0.15">
      <c r="A998" s="179" t="str">
        <f t="shared" si="28"/>
        <v>Iztapalapa_Optimal Year Round_225</v>
      </c>
      <c r="B998" s="501" t="s">
        <v>1146</v>
      </c>
      <c r="C998" s="429">
        <v>19</v>
      </c>
      <c r="D998" s="429">
        <v>225</v>
      </c>
      <c r="E998" s="431">
        <v>5.49</v>
      </c>
      <c r="F998" s="431">
        <v>6.18</v>
      </c>
      <c r="G998" s="431">
        <v>6.54</v>
      </c>
      <c r="H998" s="431">
        <v>5.98</v>
      </c>
      <c r="I998" s="431">
        <v>5.5</v>
      </c>
      <c r="J998" s="431">
        <v>5.31</v>
      </c>
      <c r="K998" s="431">
        <v>5.19</v>
      </c>
      <c r="L998" s="431">
        <v>4.88</v>
      </c>
      <c r="M998" s="431">
        <v>4.72</v>
      </c>
      <c r="N998" s="431">
        <v>5.0599999999999996</v>
      </c>
      <c r="O998" s="431">
        <v>5.4</v>
      </c>
      <c r="P998" s="431">
        <v>5.03</v>
      </c>
      <c r="Q998" s="179">
        <f t="shared" si="29"/>
        <v>5.44</v>
      </c>
      <c r="R998" s="179" t="s">
        <v>993</v>
      </c>
    </row>
    <row r="999" spans="1:18" x14ac:dyDescent="0.15">
      <c r="A999" s="179" t="str">
        <f t="shared" si="28"/>
        <v>Iztapalapa_Optimal Year Round_247.5</v>
      </c>
      <c r="B999" s="501" t="s">
        <v>1146</v>
      </c>
      <c r="C999" s="429">
        <v>19</v>
      </c>
      <c r="D999" s="429">
        <v>247.5</v>
      </c>
      <c r="E999" s="431">
        <v>5.0599999999999996</v>
      </c>
      <c r="F999" s="431">
        <v>5.7</v>
      </c>
      <c r="G999" s="431">
        <v>6.02</v>
      </c>
      <c r="H999" s="431">
        <v>5.5</v>
      </c>
      <c r="I999" s="431">
        <v>5.07</v>
      </c>
      <c r="J999" s="431">
        <v>4.8899999999999997</v>
      </c>
      <c r="K999" s="431">
        <v>4.78</v>
      </c>
      <c r="L999" s="431">
        <v>4.5</v>
      </c>
      <c r="M999" s="431">
        <v>4.3499999999999996</v>
      </c>
      <c r="N999" s="431">
        <v>4.66</v>
      </c>
      <c r="O999" s="431">
        <v>4.97</v>
      </c>
      <c r="P999" s="431">
        <v>4.63</v>
      </c>
      <c r="Q999" s="179">
        <f t="shared" si="29"/>
        <v>5.0108333333333333</v>
      </c>
      <c r="R999" s="179" t="s">
        <v>993</v>
      </c>
    </row>
    <row r="1000" spans="1:18" x14ac:dyDescent="0.15">
      <c r="A1000" s="179" t="str">
        <f t="shared" si="28"/>
        <v>Iztapalapa_Optimal Year Round_270</v>
      </c>
      <c r="B1000" s="501" t="s">
        <v>1146</v>
      </c>
      <c r="C1000" s="429">
        <v>19</v>
      </c>
      <c r="D1000" s="429">
        <v>270</v>
      </c>
      <c r="E1000" s="431">
        <v>4.62</v>
      </c>
      <c r="F1000" s="431">
        <v>5.21</v>
      </c>
      <c r="G1000" s="431">
        <v>5.5</v>
      </c>
      <c r="H1000" s="431">
        <v>5.03</v>
      </c>
      <c r="I1000" s="431">
        <v>4.63</v>
      </c>
      <c r="J1000" s="431">
        <v>4.47</v>
      </c>
      <c r="K1000" s="431">
        <v>4.37</v>
      </c>
      <c r="L1000" s="431">
        <v>4.1100000000000003</v>
      </c>
      <c r="M1000" s="431">
        <v>3.98</v>
      </c>
      <c r="N1000" s="431">
        <v>4.26</v>
      </c>
      <c r="O1000" s="431">
        <v>4.54</v>
      </c>
      <c r="P1000" s="431">
        <v>4.2300000000000004</v>
      </c>
      <c r="Q1000" s="179">
        <f t="shared" si="29"/>
        <v>4.5791666666666657</v>
      </c>
      <c r="R1000" s="179" t="s">
        <v>993</v>
      </c>
    </row>
    <row r="1001" spans="1:18" x14ac:dyDescent="0.15">
      <c r="A1001" s="179" t="str">
        <f t="shared" si="28"/>
        <v>Jalapa Enriquez_Flat Surface_90</v>
      </c>
      <c r="B1001" s="501" t="s">
        <v>1147</v>
      </c>
      <c r="C1001" s="429">
        <v>0</v>
      </c>
      <c r="D1001" s="429">
        <v>90</v>
      </c>
      <c r="E1001" s="431">
        <v>3.62</v>
      </c>
      <c r="F1001" s="431">
        <v>4.1900000000000004</v>
      </c>
      <c r="G1001" s="431">
        <v>4.8</v>
      </c>
      <c r="H1001" s="431">
        <v>5.25</v>
      </c>
      <c r="I1001" s="431">
        <v>5.43</v>
      </c>
      <c r="J1001" s="431">
        <v>5.04</v>
      </c>
      <c r="K1001" s="431">
        <v>5.24</v>
      </c>
      <c r="L1001" s="431">
        <v>4.95</v>
      </c>
      <c r="M1001" s="431">
        <v>4.4000000000000004</v>
      </c>
      <c r="N1001" s="431">
        <v>4.25</v>
      </c>
      <c r="O1001" s="431">
        <v>3.92</v>
      </c>
      <c r="P1001" s="431">
        <v>3.43</v>
      </c>
      <c r="Q1001" s="179">
        <f t="shared" si="29"/>
        <v>4.5433333333333339</v>
      </c>
      <c r="R1001" s="179" t="s">
        <v>994</v>
      </c>
    </row>
    <row r="1002" spans="1:18" x14ac:dyDescent="0.15">
      <c r="A1002" s="179" t="str">
        <f t="shared" si="28"/>
        <v>Jalapa Enriquez_Flat Surface_112.5</v>
      </c>
      <c r="B1002" s="501" t="s">
        <v>1147</v>
      </c>
      <c r="C1002" s="429">
        <v>0</v>
      </c>
      <c r="D1002" s="429">
        <v>112.5</v>
      </c>
      <c r="E1002" s="431">
        <v>3.62</v>
      </c>
      <c r="F1002" s="431">
        <v>4.1900000000000004</v>
      </c>
      <c r="G1002" s="431">
        <v>4.8</v>
      </c>
      <c r="H1002" s="431">
        <v>5.25</v>
      </c>
      <c r="I1002" s="431">
        <v>5.43</v>
      </c>
      <c r="J1002" s="431">
        <v>5.04</v>
      </c>
      <c r="K1002" s="431">
        <v>5.24</v>
      </c>
      <c r="L1002" s="431">
        <v>4.95</v>
      </c>
      <c r="M1002" s="431">
        <v>4.4000000000000004</v>
      </c>
      <c r="N1002" s="431">
        <v>4.25</v>
      </c>
      <c r="O1002" s="431">
        <v>3.92</v>
      </c>
      <c r="P1002" s="431">
        <v>3.43</v>
      </c>
      <c r="Q1002" s="179">
        <f t="shared" si="29"/>
        <v>4.5433333333333339</v>
      </c>
      <c r="R1002" s="179" t="s">
        <v>994</v>
      </c>
    </row>
    <row r="1003" spans="1:18" x14ac:dyDescent="0.15">
      <c r="A1003" s="179" t="str">
        <f t="shared" si="28"/>
        <v>Jalapa Enriquez_Flat Surface_135</v>
      </c>
      <c r="B1003" s="501" t="s">
        <v>1147</v>
      </c>
      <c r="C1003" s="429">
        <v>0</v>
      </c>
      <c r="D1003" s="429">
        <v>135</v>
      </c>
      <c r="E1003" s="431">
        <v>3.62</v>
      </c>
      <c r="F1003" s="431">
        <v>4.1900000000000004</v>
      </c>
      <c r="G1003" s="431">
        <v>4.8</v>
      </c>
      <c r="H1003" s="431">
        <v>5.25</v>
      </c>
      <c r="I1003" s="431">
        <v>5.43</v>
      </c>
      <c r="J1003" s="431">
        <v>5.04</v>
      </c>
      <c r="K1003" s="431">
        <v>5.24</v>
      </c>
      <c r="L1003" s="431">
        <v>4.95</v>
      </c>
      <c r="M1003" s="431">
        <v>4.4000000000000004</v>
      </c>
      <c r="N1003" s="431">
        <v>4.25</v>
      </c>
      <c r="O1003" s="431">
        <v>3.92</v>
      </c>
      <c r="P1003" s="431">
        <v>3.43</v>
      </c>
      <c r="Q1003" s="179">
        <f t="shared" si="29"/>
        <v>4.5433333333333339</v>
      </c>
      <c r="R1003" s="179" t="s">
        <v>994</v>
      </c>
    </row>
    <row r="1004" spans="1:18" x14ac:dyDescent="0.15">
      <c r="A1004" s="179" t="str">
        <f t="shared" si="28"/>
        <v>Jalapa Enriquez_Flat Surface_157.5</v>
      </c>
      <c r="B1004" s="501" t="s">
        <v>1147</v>
      </c>
      <c r="C1004" s="429">
        <v>0</v>
      </c>
      <c r="D1004" s="429">
        <v>157.5</v>
      </c>
      <c r="E1004" s="431">
        <v>3.62</v>
      </c>
      <c r="F1004" s="431">
        <v>4.1900000000000004</v>
      </c>
      <c r="G1004" s="431">
        <v>4.8</v>
      </c>
      <c r="H1004" s="431">
        <v>5.25</v>
      </c>
      <c r="I1004" s="431">
        <v>5.43</v>
      </c>
      <c r="J1004" s="431">
        <v>5.04</v>
      </c>
      <c r="K1004" s="431">
        <v>5.24</v>
      </c>
      <c r="L1004" s="431">
        <v>4.95</v>
      </c>
      <c r="M1004" s="431">
        <v>4.4000000000000004</v>
      </c>
      <c r="N1004" s="431">
        <v>4.25</v>
      </c>
      <c r="O1004" s="431">
        <v>3.92</v>
      </c>
      <c r="P1004" s="431">
        <v>3.43</v>
      </c>
      <c r="Q1004" s="179">
        <f t="shared" si="29"/>
        <v>4.5433333333333339</v>
      </c>
      <c r="R1004" s="179" t="s">
        <v>994</v>
      </c>
    </row>
    <row r="1005" spans="1:18" x14ac:dyDescent="0.15">
      <c r="A1005" s="179" t="str">
        <f t="shared" si="28"/>
        <v>Jalapa Enriquez_Flat Surface_180</v>
      </c>
      <c r="B1005" s="501" t="s">
        <v>1147</v>
      </c>
      <c r="C1005" s="429">
        <v>0</v>
      </c>
      <c r="D1005" s="429">
        <v>180</v>
      </c>
      <c r="E1005" s="431">
        <v>3.62</v>
      </c>
      <c r="F1005" s="431">
        <v>4.1900000000000004</v>
      </c>
      <c r="G1005" s="431">
        <v>4.8</v>
      </c>
      <c r="H1005" s="431">
        <v>5.25</v>
      </c>
      <c r="I1005" s="431">
        <v>5.43</v>
      </c>
      <c r="J1005" s="431">
        <v>5.04</v>
      </c>
      <c r="K1005" s="431">
        <v>5.24</v>
      </c>
      <c r="L1005" s="431">
        <v>4.95</v>
      </c>
      <c r="M1005" s="431">
        <v>4.4000000000000004</v>
      </c>
      <c r="N1005" s="431">
        <v>4.25</v>
      </c>
      <c r="O1005" s="431">
        <v>3.92</v>
      </c>
      <c r="P1005" s="431">
        <v>3.43</v>
      </c>
      <c r="Q1005" s="179">
        <f t="shared" si="29"/>
        <v>4.5433333333333339</v>
      </c>
      <c r="R1005" s="179" t="s">
        <v>994</v>
      </c>
    </row>
    <row r="1006" spans="1:18" x14ac:dyDescent="0.15">
      <c r="A1006" s="179" t="str">
        <f t="shared" si="28"/>
        <v>Jalapa Enriquez_Flat Surface_202.5</v>
      </c>
      <c r="B1006" s="501" t="s">
        <v>1147</v>
      </c>
      <c r="C1006" s="429">
        <v>0</v>
      </c>
      <c r="D1006" s="429">
        <v>202.5</v>
      </c>
      <c r="E1006" s="431">
        <v>3.62</v>
      </c>
      <c r="F1006" s="431">
        <v>4.1900000000000004</v>
      </c>
      <c r="G1006" s="431">
        <v>4.8</v>
      </c>
      <c r="H1006" s="431">
        <v>5.25</v>
      </c>
      <c r="I1006" s="431">
        <v>5.43</v>
      </c>
      <c r="J1006" s="431">
        <v>5.04</v>
      </c>
      <c r="K1006" s="431">
        <v>5.24</v>
      </c>
      <c r="L1006" s="431">
        <v>4.95</v>
      </c>
      <c r="M1006" s="431">
        <v>4.4000000000000004</v>
      </c>
      <c r="N1006" s="431">
        <v>4.25</v>
      </c>
      <c r="O1006" s="431">
        <v>3.92</v>
      </c>
      <c r="P1006" s="431">
        <v>3.43</v>
      </c>
      <c r="Q1006" s="179">
        <f t="shared" si="29"/>
        <v>4.5433333333333339</v>
      </c>
      <c r="R1006" s="179" t="s">
        <v>994</v>
      </c>
    </row>
    <row r="1007" spans="1:18" x14ac:dyDescent="0.15">
      <c r="A1007" s="179" t="str">
        <f t="shared" si="28"/>
        <v>Jalapa Enriquez_Flat Surface_225</v>
      </c>
      <c r="B1007" s="501" t="s">
        <v>1147</v>
      </c>
      <c r="C1007" s="429">
        <v>0</v>
      </c>
      <c r="D1007" s="429">
        <v>225</v>
      </c>
      <c r="E1007" s="431">
        <v>3.62</v>
      </c>
      <c r="F1007" s="431">
        <v>4.1900000000000004</v>
      </c>
      <c r="G1007" s="431">
        <v>4.8</v>
      </c>
      <c r="H1007" s="431">
        <v>5.25</v>
      </c>
      <c r="I1007" s="431">
        <v>5.43</v>
      </c>
      <c r="J1007" s="431">
        <v>5.04</v>
      </c>
      <c r="K1007" s="431">
        <v>5.24</v>
      </c>
      <c r="L1007" s="431">
        <v>4.95</v>
      </c>
      <c r="M1007" s="431">
        <v>4.4000000000000004</v>
      </c>
      <c r="N1007" s="431">
        <v>4.25</v>
      </c>
      <c r="O1007" s="431">
        <v>3.92</v>
      </c>
      <c r="P1007" s="431">
        <v>3.43</v>
      </c>
      <c r="Q1007" s="179">
        <f t="shared" si="29"/>
        <v>4.5433333333333339</v>
      </c>
      <c r="R1007" s="179" t="s">
        <v>994</v>
      </c>
    </row>
    <row r="1008" spans="1:18" x14ac:dyDescent="0.15">
      <c r="A1008" s="179" t="str">
        <f t="shared" si="28"/>
        <v>Jalapa Enriquez_Flat Surface_247.5</v>
      </c>
      <c r="B1008" s="501" t="s">
        <v>1147</v>
      </c>
      <c r="C1008" s="429">
        <v>0</v>
      </c>
      <c r="D1008" s="429">
        <v>247.5</v>
      </c>
      <c r="E1008" s="431">
        <v>3.62</v>
      </c>
      <c r="F1008" s="431">
        <v>4.1900000000000004</v>
      </c>
      <c r="G1008" s="431">
        <v>4.8</v>
      </c>
      <c r="H1008" s="431">
        <v>5.25</v>
      </c>
      <c r="I1008" s="431">
        <v>5.43</v>
      </c>
      <c r="J1008" s="431">
        <v>5.04</v>
      </c>
      <c r="K1008" s="431">
        <v>5.24</v>
      </c>
      <c r="L1008" s="431">
        <v>4.95</v>
      </c>
      <c r="M1008" s="431">
        <v>4.4000000000000004</v>
      </c>
      <c r="N1008" s="431">
        <v>4.25</v>
      </c>
      <c r="O1008" s="431">
        <v>3.92</v>
      </c>
      <c r="P1008" s="431">
        <v>3.43</v>
      </c>
      <c r="Q1008" s="179">
        <f t="shared" si="29"/>
        <v>4.5433333333333339</v>
      </c>
      <c r="R1008" s="179" t="s">
        <v>994</v>
      </c>
    </row>
    <row r="1009" spans="1:18" x14ac:dyDescent="0.15">
      <c r="A1009" s="179" t="str">
        <f t="shared" si="28"/>
        <v>Jalapa Enriquez_Flat Surface_270</v>
      </c>
      <c r="B1009" s="501" t="s">
        <v>1147</v>
      </c>
      <c r="C1009" s="429">
        <v>0</v>
      </c>
      <c r="D1009" s="429">
        <v>270</v>
      </c>
      <c r="E1009" s="431">
        <v>3.62</v>
      </c>
      <c r="F1009" s="431">
        <v>4.1900000000000004</v>
      </c>
      <c r="G1009" s="431">
        <v>4.8</v>
      </c>
      <c r="H1009" s="431">
        <v>5.25</v>
      </c>
      <c r="I1009" s="431">
        <v>5.43</v>
      </c>
      <c r="J1009" s="431">
        <v>5.04</v>
      </c>
      <c r="K1009" s="431">
        <v>5.24</v>
      </c>
      <c r="L1009" s="431">
        <v>4.95</v>
      </c>
      <c r="M1009" s="431">
        <v>4.4000000000000004</v>
      </c>
      <c r="N1009" s="431">
        <v>4.25</v>
      </c>
      <c r="O1009" s="431">
        <v>3.92</v>
      </c>
      <c r="P1009" s="431">
        <v>3.43</v>
      </c>
      <c r="Q1009" s="179">
        <f t="shared" si="29"/>
        <v>4.5433333333333339</v>
      </c>
      <c r="R1009" s="179" t="s">
        <v>994</v>
      </c>
    </row>
    <row r="1010" spans="1:18" x14ac:dyDescent="0.15">
      <c r="A1010" s="179" t="str">
        <f t="shared" si="28"/>
        <v>Jalapa Enriquez_Optimal Summer_90</v>
      </c>
      <c r="B1010" s="501" t="s">
        <v>1147</v>
      </c>
      <c r="C1010" s="429">
        <v>5</v>
      </c>
      <c r="D1010" s="429">
        <v>90</v>
      </c>
      <c r="E1010" s="431">
        <v>3.02</v>
      </c>
      <c r="F1010" s="431">
        <v>3.45</v>
      </c>
      <c r="G1010" s="431">
        <v>3.9</v>
      </c>
      <c r="H1010" s="431">
        <v>4.22</v>
      </c>
      <c r="I1010" s="431">
        <v>4.3099999999999996</v>
      </c>
      <c r="J1010" s="431">
        <v>4.0599999999999996</v>
      </c>
      <c r="K1010" s="431">
        <v>4.22</v>
      </c>
      <c r="L1010" s="431">
        <v>3.95</v>
      </c>
      <c r="M1010" s="431">
        <v>3.55</v>
      </c>
      <c r="N1010" s="431">
        <v>3.48</v>
      </c>
      <c r="O1010" s="431">
        <v>3.26</v>
      </c>
      <c r="P1010" s="431">
        <v>2.86</v>
      </c>
      <c r="Q1010" s="179">
        <f t="shared" si="29"/>
        <v>3.6899999999999991</v>
      </c>
      <c r="R1010" s="179" t="s">
        <v>958</v>
      </c>
    </row>
    <row r="1011" spans="1:18" x14ac:dyDescent="0.15">
      <c r="A1011" s="179" t="str">
        <f t="shared" si="28"/>
        <v>Jalapa Enriquez_Optimal Summer_112.5</v>
      </c>
      <c r="B1011" s="501" t="s">
        <v>1147</v>
      </c>
      <c r="C1011" s="429">
        <v>5</v>
      </c>
      <c r="D1011" s="429">
        <v>112.5</v>
      </c>
      <c r="E1011" s="431">
        <v>3.3</v>
      </c>
      <c r="F1011" s="431">
        <v>3.77</v>
      </c>
      <c r="G1011" s="431">
        <v>4.26</v>
      </c>
      <c r="H1011" s="431">
        <v>4.6100000000000003</v>
      </c>
      <c r="I1011" s="431">
        <v>4.72</v>
      </c>
      <c r="J1011" s="431">
        <v>4.4400000000000004</v>
      </c>
      <c r="K1011" s="431">
        <v>4.6100000000000003</v>
      </c>
      <c r="L1011" s="431">
        <v>4.32</v>
      </c>
      <c r="M1011" s="431">
        <v>3.88</v>
      </c>
      <c r="N1011" s="431">
        <v>3.81</v>
      </c>
      <c r="O1011" s="431">
        <v>3.56</v>
      </c>
      <c r="P1011" s="431">
        <v>3.13</v>
      </c>
      <c r="Q1011" s="179">
        <f t="shared" si="29"/>
        <v>4.0341666666666676</v>
      </c>
      <c r="R1011" s="179" t="s">
        <v>958</v>
      </c>
    </row>
    <row r="1012" spans="1:18" x14ac:dyDescent="0.15">
      <c r="A1012" s="179" t="str">
        <f t="shared" si="28"/>
        <v>Jalapa Enriquez_Optimal Summer_135</v>
      </c>
      <c r="B1012" s="501" t="s">
        <v>1147</v>
      </c>
      <c r="C1012" s="429">
        <v>5</v>
      </c>
      <c r="D1012" s="429">
        <v>135</v>
      </c>
      <c r="E1012" s="431">
        <v>3.58</v>
      </c>
      <c r="F1012" s="431">
        <v>4.09</v>
      </c>
      <c r="G1012" s="431">
        <v>4.63</v>
      </c>
      <c r="H1012" s="431">
        <v>5.01</v>
      </c>
      <c r="I1012" s="431">
        <v>5.12</v>
      </c>
      <c r="J1012" s="431">
        <v>4.82</v>
      </c>
      <c r="K1012" s="431">
        <v>5.01</v>
      </c>
      <c r="L1012" s="431">
        <v>4.6900000000000004</v>
      </c>
      <c r="M1012" s="431">
        <v>4.22</v>
      </c>
      <c r="N1012" s="431">
        <v>4.13</v>
      </c>
      <c r="O1012" s="431">
        <v>3.87</v>
      </c>
      <c r="P1012" s="431">
        <v>3.4</v>
      </c>
      <c r="Q1012" s="179">
        <f t="shared" si="29"/>
        <v>4.3808333333333334</v>
      </c>
      <c r="R1012" s="179" t="s">
        <v>958</v>
      </c>
    </row>
    <row r="1013" spans="1:18" x14ac:dyDescent="0.15">
      <c r="A1013" s="179" t="str">
        <f t="shared" si="28"/>
        <v>Jalapa Enriquez_Optimal Summer_157.5</v>
      </c>
      <c r="B1013" s="501" t="s">
        <v>1147</v>
      </c>
      <c r="C1013" s="429">
        <v>5</v>
      </c>
      <c r="D1013" s="429">
        <v>157.5</v>
      </c>
      <c r="E1013" s="431">
        <v>3.68</v>
      </c>
      <c r="F1013" s="431">
        <v>4.2</v>
      </c>
      <c r="G1013" s="431">
        <v>4.75</v>
      </c>
      <c r="H1013" s="431">
        <v>5.14</v>
      </c>
      <c r="I1013" s="431">
        <v>5.26</v>
      </c>
      <c r="J1013" s="431">
        <v>4.9400000000000004</v>
      </c>
      <c r="K1013" s="431">
        <v>5.14</v>
      </c>
      <c r="L1013" s="431">
        <v>4.82</v>
      </c>
      <c r="M1013" s="431">
        <v>4.33</v>
      </c>
      <c r="N1013" s="431">
        <v>4.24</v>
      </c>
      <c r="O1013" s="431">
        <v>3.97</v>
      </c>
      <c r="P1013" s="431">
        <v>3.49</v>
      </c>
      <c r="Q1013" s="179">
        <f t="shared" si="29"/>
        <v>4.496666666666667</v>
      </c>
      <c r="R1013" s="179" t="s">
        <v>958</v>
      </c>
    </row>
    <row r="1014" spans="1:18" x14ac:dyDescent="0.15">
      <c r="A1014" s="179" t="str">
        <f t="shared" si="28"/>
        <v>Jalapa Enriquez_Optimal Summer_180</v>
      </c>
      <c r="B1014" s="501" t="s">
        <v>1147</v>
      </c>
      <c r="C1014" s="429">
        <v>5</v>
      </c>
      <c r="D1014" s="429">
        <v>180</v>
      </c>
      <c r="E1014" s="431">
        <v>3.77</v>
      </c>
      <c r="F1014" s="431">
        <v>4.3099999999999996</v>
      </c>
      <c r="G1014" s="431">
        <v>4.87</v>
      </c>
      <c r="H1014" s="431">
        <v>5.27</v>
      </c>
      <c r="I1014" s="431">
        <v>5.39</v>
      </c>
      <c r="J1014" s="431">
        <v>5.07</v>
      </c>
      <c r="K1014" s="431">
        <v>5.27</v>
      </c>
      <c r="L1014" s="431">
        <v>4.9400000000000004</v>
      </c>
      <c r="M1014" s="431">
        <v>4.4400000000000004</v>
      </c>
      <c r="N1014" s="431">
        <v>4.3499999999999996</v>
      </c>
      <c r="O1014" s="431">
        <v>4.07</v>
      </c>
      <c r="P1014" s="431">
        <v>3.58</v>
      </c>
      <c r="Q1014" s="179">
        <f t="shared" si="29"/>
        <v>4.6108333333333329</v>
      </c>
      <c r="R1014" s="179" t="s">
        <v>958</v>
      </c>
    </row>
    <row r="1015" spans="1:18" x14ac:dyDescent="0.15">
      <c r="A1015" s="179" t="str">
        <f t="shared" si="28"/>
        <v>Jalapa Enriquez_Optimal Summer_202.5</v>
      </c>
      <c r="B1015" s="501" t="s">
        <v>1147</v>
      </c>
      <c r="C1015" s="429">
        <v>5</v>
      </c>
      <c r="D1015" s="429">
        <v>202.5</v>
      </c>
      <c r="E1015" s="431">
        <v>3.68</v>
      </c>
      <c r="F1015" s="431">
        <v>4.2</v>
      </c>
      <c r="G1015" s="431">
        <v>4.75</v>
      </c>
      <c r="H1015" s="431">
        <v>5.14</v>
      </c>
      <c r="I1015" s="431">
        <v>5.26</v>
      </c>
      <c r="J1015" s="431">
        <v>4.9400000000000004</v>
      </c>
      <c r="K1015" s="431">
        <v>5.14</v>
      </c>
      <c r="L1015" s="431">
        <v>4.82</v>
      </c>
      <c r="M1015" s="431">
        <v>4.33</v>
      </c>
      <c r="N1015" s="431">
        <v>4.24</v>
      </c>
      <c r="O1015" s="431">
        <v>3.97</v>
      </c>
      <c r="P1015" s="431">
        <v>3.49</v>
      </c>
      <c r="Q1015" s="179">
        <f t="shared" si="29"/>
        <v>4.496666666666667</v>
      </c>
      <c r="R1015" s="179" t="s">
        <v>958</v>
      </c>
    </row>
    <row r="1016" spans="1:18" x14ac:dyDescent="0.15">
      <c r="A1016" s="179" t="str">
        <f t="shared" si="28"/>
        <v>Jalapa Enriquez_Optimal Summer_225</v>
      </c>
      <c r="B1016" s="501" t="s">
        <v>1147</v>
      </c>
      <c r="C1016" s="429">
        <v>5</v>
      </c>
      <c r="D1016" s="429">
        <v>225</v>
      </c>
      <c r="E1016" s="431">
        <v>3.58</v>
      </c>
      <c r="F1016" s="431">
        <v>4.09</v>
      </c>
      <c r="G1016" s="431">
        <v>4.63</v>
      </c>
      <c r="H1016" s="431">
        <v>5.01</v>
      </c>
      <c r="I1016" s="431">
        <v>5.12</v>
      </c>
      <c r="J1016" s="431">
        <v>4.82</v>
      </c>
      <c r="K1016" s="431">
        <v>5.01</v>
      </c>
      <c r="L1016" s="431">
        <v>4.6900000000000004</v>
      </c>
      <c r="M1016" s="431">
        <v>4.22</v>
      </c>
      <c r="N1016" s="431">
        <v>4.13</v>
      </c>
      <c r="O1016" s="431">
        <v>3.87</v>
      </c>
      <c r="P1016" s="431">
        <v>3.4</v>
      </c>
      <c r="Q1016" s="179">
        <f t="shared" si="29"/>
        <v>4.3808333333333334</v>
      </c>
      <c r="R1016" s="179" t="s">
        <v>958</v>
      </c>
    </row>
    <row r="1017" spans="1:18" x14ac:dyDescent="0.15">
      <c r="A1017" s="179" t="str">
        <f t="shared" si="28"/>
        <v>Jalapa Enriquez_Optimal Summer_247.5</v>
      </c>
      <c r="B1017" s="501" t="s">
        <v>1147</v>
      </c>
      <c r="C1017" s="429">
        <v>5</v>
      </c>
      <c r="D1017" s="429">
        <v>247.5</v>
      </c>
      <c r="E1017" s="431">
        <v>3.3</v>
      </c>
      <c r="F1017" s="431">
        <v>3.77</v>
      </c>
      <c r="G1017" s="431">
        <v>4.26</v>
      </c>
      <c r="H1017" s="431">
        <v>4.6100000000000003</v>
      </c>
      <c r="I1017" s="431">
        <v>4.72</v>
      </c>
      <c r="J1017" s="431">
        <v>4.4400000000000004</v>
      </c>
      <c r="K1017" s="431">
        <v>4.6100000000000003</v>
      </c>
      <c r="L1017" s="431">
        <v>4.32</v>
      </c>
      <c r="M1017" s="431">
        <v>3.88</v>
      </c>
      <c r="N1017" s="431">
        <v>3.81</v>
      </c>
      <c r="O1017" s="431">
        <v>3.56</v>
      </c>
      <c r="P1017" s="431">
        <v>3.13</v>
      </c>
      <c r="Q1017" s="179">
        <f t="shared" si="29"/>
        <v>4.0341666666666676</v>
      </c>
      <c r="R1017" s="179" t="s">
        <v>958</v>
      </c>
    </row>
    <row r="1018" spans="1:18" x14ac:dyDescent="0.15">
      <c r="A1018" s="179" t="str">
        <f t="shared" si="28"/>
        <v>Jalapa Enriquez_Optimal Summer_270</v>
      </c>
      <c r="B1018" s="501" t="s">
        <v>1147</v>
      </c>
      <c r="C1018" s="429">
        <v>5</v>
      </c>
      <c r="D1018" s="429">
        <v>270</v>
      </c>
      <c r="E1018" s="431">
        <v>3.02</v>
      </c>
      <c r="F1018" s="431">
        <v>3.45</v>
      </c>
      <c r="G1018" s="431">
        <v>3.9</v>
      </c>
      <c r="H1018" s="431">
        <v>4.22</v>
      </c>
      <c r="I1018" s="431">
        <v>4.3099999999999996</v>
      </c>
      <c r="J1018" s="431">
        <v>4.0599999999999996</v>
      </c>
      <c r="K1018" s="431">
        <v>4.22</v>
      </c>
      <c r="L1018" s="431">
        <v>3.95</v>
      </c>
      <c r="M1018" s="431">
        <v>3.55</v>
      </c>
      <c r="N1018" s="431">
        <v>3.48</v>
      </c>
      <c r="O1018" s="431">
        <v>3.26</v>
      </c>
      <c r="P1018" s="431">
        <v>2.86</v>
      </c>
      <c r="Q1018" s="179">
        <f t="shared" si="29"/>
        <v>3.6899999999999991</v>
      </c>
      <c r="R1018" s="179" t="s">
        <v>958</v>
      </c>
    </row>
    <row r="1019" spans="1:18" x14ac:dyDescent="0.15">
      <c r="A1019" s="179" t="str">
        <f t="shared" si="28"/>
        <v>Jalapa Enriquez_Optimal Year Round_90</v>
      </c>
      <c r="B1019" s="501" t="s">
        <v>1147</v>
      </c>
      <c r="C1019" s="429">
        <v>20</v>
      </c>
      <c r="D1019" s="429">
        <v>90</v>
      </c>
      <c r="E1019" s="431">
        <v>3.37</v>
      </c>
      <c r="F1019" s="431">
        <v>3.7</v>
      </c>
      <c r="G1019" s="431">
        <v>4</v>
      </c>
      <c r="H1019" s="431">
        <v>4.1399999999999997</v>
      </c>
      <c r="I1019" s="431">
        <v>4.08</v>
      </c>
      <c r="J1019" s="431">
        <v>4.03</v>
      </c>
      <c r="K1019" s="431">
        <v>4.17</v>
      </c>
      <c r="L1019" s="431">
        <v>3.83</v>
      </c>
      <c r="M1019" s="431">
        <v>3.57</v>
      </c>
      <c r="N1019" s="431">
        <v>3.67</v>
      </c>
      <c r="O1019" s="431">
        <v>3.62</v>
      </c>
      <c r="P1019" s="431">
        <v>3.22</v>
      </c>
      <c r="Q1019" s="179">
        <f t="shared" si="29"/>
        <v>3.7833333333333332</v>
      </c>
      <c r="R1019" s="179" t="s">
        <v>993</v>
      </c>
    </row>
    <row r="1020" spans="1:18" x14ac:dyDescent="0.15">
      <c r="A1020" s="179" t="str">
        <f t="shared" si="28"/>
        <v>Jalapa Enriquez_Optimal Year Round_112.5</v>
      </c>
      <c r="B1020" s="501" t="s">
        <v>1147</v>
      </c>
      <c r="C1020" s="429">
        <v>20</v>
      </c>
      <c r="D1020" s="429">
        <v>112.5</v>
      </c>
      <c r="E1020" s="431">
        <v>3.68</v>
      </c>
      <c r="F1020" s="431">
        <v>4.05</v>
      </c>
      <c r="G1020" s="431">
        <v>4.38</v>
      </c>
      <c r="H1020" s="431">
        <v>4.53</v>
      </c>
      <c r="I1020" s="431">
        <v>4.46</v>
      </c>
      <c r="J1020" s="431">
        <v>4.41</v>
      </c>
      <c r="K1020" s="431">
        <v>4.5599999999999996</v>
      </c>
      <c r="L1020" s="431">
        <v>4.1900000000000004</v>
      </c>
      <c r="M1020" s="431">
        <v>3.9</v>
      </c>
      <c r="N1020" s="431">
        <v>4.0199999999999996</v>
      </c>
      <c r="O1020" s="431">
        <v>3.96</v>
      </c>
      <c r="P1020" s="431">
        <v>3.52</v>
      </c>
      <c r="Q1020" s="179">
        <f t="shared" si="29"/>
        <v>4.1383333333333328</v>
      </c>
      <c r="R1020" s="179" t="s">
        <v>993</v>
      </c>
    </row>
    <row r="1021" spans="1:18" x14ac:dyDescent="0.15">
      <c r="A1021" s="179" t="str">
        <f t="shared" si="28"/>
        <v>Jalapa Enriquez_Optimal Year Round_135</v>
      </c>
      <c r="B1021" s="501" t="s">
        <v>1147</v>
      </c>
      <c r="C1021" s="429">
        <v>20</v>
      </c>
      <c r="D1021" s="429">
        <v>135</v>
      </c>
      <c r="E1021" s="431">
        <v>4</v>
      </c>
      <c r="F1021" s="431">
        <v>4.4000000000000004</v>
      </c>
      <c r="G1021" s="431">
        <v>4.75</v>
      </c>
      <c r="H1021" s="431">
        <v>4.92</v>
      </c>
      <c r="I1021" s="431">
        <v>4.84</v>
      </c>
      <c r="J1021" s="431">
        <v>4.79</v>
      </c>
      <c r="K1021" s="431">
        <v>4.95</v>
      </c>
      <c r="L1021" s="431">
        <v>4.55</v>
      </c>
      <c r="M1021" s="431">
        <v>4.24</v>
      </c>
      <c r="N1021" s="431">
        <v>4.3600000000000003</v>
      </c>
      <c r="O1021" s="431">
        <v>4.29</v>
      </c>
      <c r="P1021" s="431">
        <v>3.82</v>
      </c>
      <c r="Q1021" s="179">
        <f t="shared" si="29"/>
        <v>4.4924999999999997</v>
      </c>
      <c r="R1021" s="179" t="s">
        <v>993</v>
      </c>
    </row>
    <row r="1022" spans="1:18" x14ac:dyDescent="0.15">
      <c r="A1022" s="179" t="str">
        <f t="shared" si="28"/>
        <v>Jalapa Enriquez_Optimal Year Round_157.5</v>
      </c>
      <c r="B1022" s="501" t="s">
        <v>1147</v>
      </c>
      <c r="C1022" s="429">
        <v>20</v>
      </c>
      <c r="D1022" s="429">
        <v>157.5</v>
      </c>
      <c r="E1022" s="431">
        <v>4.0999999999999996</v>
      </c>
      <c r="F1022" s="431">
        <v>4.51</v>
      </c>
      <c r="G1022" s="431">
        <v>4.88</v>
      </c>
      <c r="H1022" s="431">
        <v>5.05</v>
      </c>
      <c r="I1022" s="431">
        <v>4.97</v>
      </c>
      <c r="J1022" s="431">
        <v>4.91</v>
      </c>
      <c r="K1022" s="431">
        <v>5.08</v>
      </c>
      <c r="L1022" s="431">
        <v>4.67</v>
      </c>
      <c r="M1022" s="431">
        <v>4.3499999999999996</v>
      </c>
      <c r="N1022" s="431">
        <v>4.4800000000000004</v>
      </c>
      <c r="O1022" s="431">
        <v>4.41</v>
      </c>
      <c r="P1022" s="431">
        <v>3.92</v>
      </c>
      <c r="Q1022" s="179">
        <f t="shared" si="29"/>
        <v>4.6108333333333329</v>
      </c>
      <c r="R1022" s="179" t="s">
        <v>993</v>
      </c>
    </row>
    <row r="1023" spans="1:18" x14ac:dyDescent="0.15">
      <c r="A1023" s="179" t="str">
        <f t="shared" si="28"/>
        <v>Jalapa Enriquez_Optimal Year Round_180</v>
      </c>
      <c r="B1023" s="501" t="s">
        <v>1147</v>
      </c>
      <c r="C1023" s="429">
        <v>20</v>
      </c>
      <c r="D1023" s="429">
        <v>180</v>
      </c>
      <c r="E1023" s="431">
        <v>4.21</v>
      </c>
      <c r="F1023" s="431">
        <v>4.63</v>
      </c>
      <c r="G1023" s="431">
        <v>5</v>
      </c>
      <c r="H1023" s="431">
        <v>5.18</v>
      </c>
      <c r="I1023" s="431">
        <v>5.0999999999999996</v>
      </c>
      <c r="J1023" s="431">
        <v>5.04</v>
      </c>
      <c r="K1023" s="431">
        <v>5.21</v>
      </c>
      <c r="L1023" s="431">
        <v>4.79</v>
      </c>
      <c r="M1023" s="431">
        <v>4.46</v>
      </c>
      <c r="N1023" s="431">
        <v>4.59</v>
      </c>
      <c r="O1023" s="431">
        <v>4.5199999999999996</v>
      </c>
      <c r="P1023" s="431">
        <v>4.0199999999999996</v>
      </c>
      <c r="Q1023" s="179">
        <f t="shared" si="29"/>
        <v>4.7291666666666652</v>
      </c>
      <c r="R1023" s="179" t="s">
        <v>993</v>
      </c>
    </row>
    <row r="1024" spans="1:18" x14ac:dyDescent="0.15">
      <c r="A1024" s="179" t="str">
        <f t="shared" si="28"/>
        <v>Jalapa Enriquez_Optimal Year Round_202.5</v>
      </c>
      <c r="B1024" s="501" t="s">
        <v>1147</v>
      </c>
      <c r="C1024" s="429">
        <v>20</v>
      </c>
      <c r="D1024" s="429">
        <v>202.5</v>
      </c>
      <c r="E1024" s="431">
        <v>4.0999999999999996</v>
      </c>
      <c r="F1024" s="431">
        <v>4.51</v>
      </c>
      <c r="G1024" s="431">
        <v>4.88</v>
      </c>
      <c r="H1024" s="431">
        <v>5.05</v>
      </c>
      <c r="I1024" s="431">
        <v>4.97</v>
      </c>
      <c r="J1024" s="431">
        <v>4.91</v>
      </c>
      <c r="K1024" s="431">
        <v>5.08</v>
      </c>
      <c r="L1024" s="431">
        <v>4.67</v>
      </c>
      <c r="M1024" s="431">
        <v>4.3499999999999996</v>
      </c>
      <c r="N1024" s="431">
        <v>4.4800000000000004</v>
      </c>
      <c r="O1024" s="431">
        <v>4.41</v>
      </c>
      <c r="P1024" s="431">
        <v>3.92</v>
      </c>
      <c r="Q1024" s="179">
        <f t="shared" si="29"/>
        <v>4.6108333333333329</v>
      </c>
      <c r="R1024" s="179" t="s">
        <v>993</v>
      </c>
    </row>
    <row r="1025" spans="1:18" x14ac:dyDescent="0.15">
      <c r="A1025" s="179" t="str">
        <f t="shared" si="28"/>
        <v>Jalapa Enriquez_Optimal Year Round_225</v>
      </c>
      <c r="B1025" s="501" t="s">
        <v>1147</v>
      </c>
      <c r="C1025" s="429">
        <v>20</v>
      </c>
      <c r="D1025" s="429">
        <v>225</v>
      </c>
      <c r="E1025" s="431">
        <v>4</v>
      </c>
      <c r="F1025" s="431">
        <v>4.4000000000000004</v>
      </c>
      <c r="G1025" s="431">
        <v>4.75</v>
      </c>
      <c r="H1025" s="431">
        <v>4.92</v>
      </c>
      <c r="I1025" s="431">
        <v>4.84</v>
      </c>
      <c r="J1025" s="431">
        <v>4.79</v>
      </c>
      <c r="K1025" s="431">
        <v>4.95</v>
      </c>
      <c r="L1025" s="431">
        <v>4.55</v>
      </c>
      <c r="M1025" s="431">
        <v>4.24</v>
      </c>
      <c r="N1025" s="431">
        <v>4.3600000000000003</v>
      </c>
      <c r="O1025" s="431">
        <v>4.29</v>
      </c>
      <c r="P1025" s="431">
        <v>3.82</v>
      </c>
      <c r="Q1025" s="179">
        <f t="shared" si="29"/>
        <v>4.4924999999999997</v>
      </c>
      <c r="R1025" s="179" t="s">
        <v>993</v>
      </c>
    </row>
    <row r="1026" spans="1:18" x14ac:dyDescent="0.15">
      <c r="A1026" s="179" t="str">
        <f t="shared" ref="A1026:A1089" si="30">B1026&amp;"_"&amp;R1026&amp;"_"&amp;D1026</f>
        <v>Jalapa Enriquez_Optimal Year Round_247.5</v>
      </c>
      <c r="B1026" s="501" t="s">
        <v>1147</v>
      </c>
      <c r="C1026" s="429">
        <v>20</v>
      </c>
      <c r="D1026" s="429">
        <v>247.5</v>
      </c>
      <c r="E1026" s="431">
        <v>3.68</v>
      </c>
      <c r="F1026" s="431">
        <v>4.05</v>
      </c>
      <c r="G1026" s="431">
        <v>4.38</v>
      </c>
      <c r="H1026" s="431">
        <v>4.53</v>
      </c>
      <c r="I1026" s="431">
        <v>4.46</v>
      </c>
      <c r="J1026" s="431">
        <v>4.41</v>
      </c>
      <c r="K1026" s="431">
        <v>4.5599999999999996</v>
      </c>
      <c r="L1026" s="431">
        <v>4.1900000000000004</v>
      </c>
      <c r="M1026" s="431">
        <v>3.9</v>
      </c>
      <c r="N1026" s="431">
        <v>4.0199999999999996</v>
      </c>
      <c r="O1026" s="431">
        <v>3.96</v>
      </c>
      <c r="P1026" s="431">
        <v>3.52</v>
      </c>
      <c r="Q1026" s="179">
        <f t="shared" ref="Q1026:Q1089" si="31">AVERAGE(E1026:P1026)</f>
        <v>4.1383333333333328</v>
      </c>
      <c r="R1026" s="179" t="s">
        <v>993</v>
      </c>
    </row>
    <row r="1027" spans="1:18" x14ac:dyDescent="0.15">
      <c r="A1027" s="179" t="str">
        <f t="shared" si="30"/>
        <v>Jalapa Enriquez_Optimal Year Round_270</v>
      </c>
      <c r="B1027" s="501" t="s">
        <v>1147</v>
      </c>
      <c r="C1027" s="429">
        <v>20</v>
      </c>
      <c r="D1027" s="429">
        <v>270</v>
      </c>
      <c r="E1027" s="431">
        <v>3.37</v>
      </c>
      <c r="F1027" s="431">
        <v>3.7</v>
      </c>
      <c r="G1027" s="431">
        <v>4</v>
      </c>
      <c r="H1027" s="431">
        <v>4.1399999999999997</v>
      </c>
      <c r="I1027" s="431">
        <v>4.08</v>
      </c>
      <c r="J1027" s="431">
        <v>4.03</v>
      </c>
      <c r="K1027" s="431">
        <v>4.17</v>
      </c>
      <c r="L1027" s="431">
        <v>3.83</v>
      </c>
      <c r="M1027" s="431">
        <v>3.57</v>
      </c>
      <c r="N1027" s="431">
        <v>3.67</v>
      </c>
      <c r="O1027" s="431">
        <v>3.62</v>
      </c>
      <c r="P1027" s="431">
        <v>3.22</v>
      </c>
      <c r="Q1027" s="179">
        <f t="shared" si="31"/>
        <v>3.7833333333333332</v>
      </c>
      <c r="R1027" s="179" t="s">
        <v>993</v>
      </c>
    </row>
    <row r="1028" spans="1:18" x14ac:dyDescent="0.15">
      <c r="A1028" s="179" t="str">
        <f t="shared" si="30"/>
        <v>Leon_Flat Surface_90</v>
      </c>
      <c r="B1028" s="501" t="s">
        <v>988</v>
      </c>
      <c r="C1028" s="429">
        <v>0</v>
      </c>
      <c r="D1028" s="429">
        <v>90</v>
      </c>
      <c r="E1028" s="431">
        <v>4.51</v>
      </c>
      <c r="F1028" s="431">
        <v>5.59</v>
      </c>
      <c r="G1028" s="431">
        <v>6.56</v>
      </c>
      <c r="H1028" s="431">
        <v>6.76</v>
      </c>
      <c r="I1028" s="431">
        <v>6.81</v>
      </c>
      <c r="J1028" s="431">
        <v>6.33</v>
      </c>
      <c r="K1028" s="431">
        <v>6.03</v>
      </c>
      <c r="L1028" s="431">
        <v>5.88</v>
      </c>
      <c r="M1028" s="431">
        <v>5.34</v>
      </c>
      <c r="N1028" s="431">
        <v>5.26</v>
      </c>
      <c r="O1028" s="431">
        <v>5.01</v>
      </c>
      <c r="P1028" s="431">
        <v>4.43</v>
      </c>
      <c r="Q1028" s="179">
        <f t="shared" si="31"/>
        <v>5.7091666666666656</v>
      </c>
      <c r="R1028" s="179" t="s">
        <v>994</v>
      </c>
    </row>
    <row r="1029" spans="1:18" x14ac:dyDescent="0.15">
      <c r="A1029" s="179" t="str">
        <f t="shared" si="30"/>
        <v>Leon_Flat Surface_112.5</v>
      </c>
      <c r="B1029" s="501" t="s">
        <v>988</v>
      </c>
      <c r="C1029" s="429">
        <v>0</v>
      </c>
      <c r="D1029" s="429">
        <v>112.5</v>
      </c>
      <c r="E1029" s="431">
        <v>4.51</v>
      </c>
      <c r="F1029" s="431">
        <v>5.59</v>
      </c>
      <c r="G1029" s="431">
        <v>6.56</v>
      </c>
      <c r="H1029" s="431">
        <v>6.76</v>
      </c>
      <c r="I1029" s="431">
        <v>6.81</v>
      </c>
      <c r="J1029" s="431">
        <v>6.33</v>
      </c>
      <c r="K1029" s="431">
        <v>6.03</v>
      </c>
      <c r="L1029" s="431">
        <v>5.88</v>
      </c>
      <c r="M1029" s="431">
        <v>5.34</v>
      </c>
      <c r="N1029" s="431">
        <v>5.26</v>
      </c>
      <c r="O1029" s="431">
        <v>5.01</v>
      </c>
      <c r="P1029" s="431">
        <v>4.43</v>
      </c>
      <c r="Q1029" s="179">
        <f t="shared" si="31"/>
        <v>5.7091666666666656</v>
      </c>
      <c r="R1029" s="179" t="s">
        <v>994</v>
      </c>
    </row>
    <row r="1030" spans="1:18" x14ac:dyDescent="0.15">
      <c r="A1030" s="179" t="str">
        <f t="shared" si="30"/>
        <v>Leon_Flat Surface_135</v>
      </c>
      <c r="B1030" s="501" t="s">
        <v>988</v>
      </c>
      <c r="C1030" s="429">
        <v>0</v>
      </c>
      <c r="D1030" s="429">
        <v>135</v>
      </c>
      <c r="E1030" s="431">
        <v>4.51</v>
      </c>
      <c r="F1030" s="431">
        <v>5.59</v>
      </c>
      <c r="G1030" s="431">
        <v>6.56</v>
      </c>
      <c r="H1030" s="431">
        <v>6.76</v>
      </c>
      <c r="I1030" s="431">
        <v>6.81</v>
      </c>
      <c r="J1030" s="431">
        <v>6.33</v>
      </c>
      <c r="K1030" s="431">
        <v>6.03</v>
      </c>
      <c r="L1030" s="431">
        <v>5.88</v>
      </c>
      <c r="M1030" s="431">
        <v>5.34</v>
      </c>
      <c r="N1030" s="431">
        <v>5.26</v>
      </c>
      <c r="O1030" s="431">
        <v>5.01</v>
      </c>
      <c r="P1030" s="431">
        <v>4.43</v>
      </c>
      <c r="Q1030" s="179">
        <f t="shared" si="31"/>
        <v>5.7091666666666656</v>
      </c>
      <c r="R1030" s="179" t="s">
        <v>994</v>
      </c>
    </row>
    <row r="1031" spans="1:18" x14ac:dyDescent="0.15">
      <c r="A1031" s="179" t="str">
        <f t="shared" si="30"/>
        <v>Leon_Flat Surface_157.5</v>
      </c>
      <c r="B1031" s="501" t="s">
        <v>988</v>
      </c>
      <c r="C1031" s="429">
        <v>0</v>
      </c>
      <c r="D1031" s="429">
        <v>157.5</v>
      </c>
      <c r="E1031" s="431">
        <v>4.51</v>
      </c>
      <c r="F1031" s="431">
        <v>5.59</v>
      </c>
      <c r="G1031" s="431">
        <v>6.56</v>
      </c>
      <c r="H1031" s="431">
        <v>6.76</v>
      </c>
      <c r="I1031" s="431">
        <v>6.81</v>
      </c>
      <c r="J1031" s="431">
        <v>6.33</v>
      </c>
      <c r="K1031" s="431">
        <v>6.03</v>
      </c>
      <c r="L1031" s="431">
        <v>5.88</v>
      </c>
      <c r="M1031" s="431">
        <v>5.34</v>
      </c>
      <c r="N1031" s="431">
        <v>5.26</v>
      </c>
      <c r="O1031" s="431">
        <v>5.01</v>
      </c>
      <c r="P1031" s="431">
        <v>4.43</v>
      </c>
      <c r="Q1031" s="179">
        <f t="shared" si="31"/>
        <v>5.7091666666666656</v>
      </c>
      <c r="R1031" s="179" t="s">
        <v>994</v>
      </c>
    </row>
    <row r="1032" spans="1:18" x14ac:dyDescent="0.15">
      <c r="A1032" s="179" t="str">
        <f t="shared" si="30"/>
        <v>Leon_Flat Surface_180</v>
      </c>
      <c r="B1032" s="501" t="s">
        <v>988</v>
      </c>
      <c r="C1032" s="429">
        <v>0</v>
      </c>
      <c r="D1032" s="429">
        <v>180</v>
      </c>
      <c r="E1032" s="431">
        <v>4.51</v>
      </c>
      <c r="F1032" s="431">
        <v>5.59</v>
      </c>
      <c r="G1032" s="431">
        <v>6.56</v>
      </c>
      <c r="H1032" s="431">
        <v>6.76</v>
      </c>
      <c r="I1032" s="431">
        <v>6.81</v>
      </c>
      <c r="J1032" s="431">
        <v>6.33</v>
      </c>
      <c r="K1032" s="431">
        <v>6.03</v>
      </c>
      <c r="L1032" s="431">
        <v>5.88</v>
      </c>
      <c r="M1032" s="431">
        <v>5.34</v>
      </c>
      <c r="N1032" s="431">
        <v>5.26</v>
      </c>
      <c r="O1032" s="431">
        <v>5.01</v>
      </c>
      <c r="P1032" s="431">
        <v>4.43</v>
      </c>
      <c r="Q1032" s="179">
        <f t="shared" si="31"/>
        <v>5.7091666666666656</v>
      </c>
      <c r="R1032" s="179" t="s">
        <v>994</v>
      </c>
    </row>
    <row r="1033" spans="1:18" x14ac:dyDescent="0.15">
      <c r="A1033" s="179" t="str">
        <f t="shared" si="30"/>
        <v>Leon_Flat Surface_202.5</v>
      </c>
      <c r="B1033" s="501" t="s">
        <v>988</v>
      </c>
      <c r="C1033" s="429">
        <v>0</v>
      </c>
      <c r="D1033" s="429">
        <v>202.5</v>
      </c>
      <c r="E1033" s="431">
        <v>4.51</v>
      </c>
      <c r="F1033" s="431">
        <v>5.59</v>
      </c>
      <c r="G1033" s="431">
        <v>6.56</v>
      </c>
      <c r="H1033" s="431">
        <v>6.76</v>
      </c>
      <c r="I1033" s="431">
        <v>6.81</v>
      </c>
      <c r="J1033" s="431">
        <v>6.33</v>
      </c>
      <c r="K1033" s="431">
        <v>6.03</v>
      </c>
      <c r="L1033" s="431">
        <v>5.88</v>
      </c>
      <c r="M1033" s="431">
        <v>5.34</v>
      </c>
      <c r="N1033" s="431">
        <v>5.26</v>
      </c>
      <c r="O1033" s="431">
        <v>5.01</v>
      </c>
      <c r="P1033" s="431">
        <v>4.43</v>
      </c>
      <c r="Q1033" s="179">
        <f t="shared" si="31"/>
        <v>5.7091666666666656</v>
      </c>
      <c r="R1033" s="179" t="s">
        <v>994</v>
      </c>
    </row>
    <row r="1034" spans="1:18" x14ac:dyDescent="0.15">
      <c r="A1034" s="179" t="str">
        <f t="shared" si="30"/>
        <v>Leon_Flat Surface_225</v>
      </c>
      <c r="B1034" s="501" t="s">
        <v>988</v>
      </c>
      <c r="C1034" s="429">
        <v>0</v>
      </c>
      <c r="D1034" s="429">
        <v>225</v>
      </c>
      <c r="E1034" s="431">
        <v>4.51</v>
      </c>
      <c r="F1034" s="431">
        <v>5.59</v>
      </c>
      <c r="G1034" s="431">
        <v>6.56</v>
      </c>
      <c r="H1034" s="431">
        <v>6.76</v>
      </c>
      <c r="I1034" s="431">
        <v>6.81</v>
      </c>
      <c r="J1034" s="431">
        <v>6.33</v>
      </c>
      <c r="K1034" s="431">
        <v>6.03</v>
      </c>
      <c r="L1034" s="431">
        <v>5.88</v>
      </c>
      <c r="M1034" s="431">
        <v>5.34</v>
      </c>
      <c r="N1034" s="431">
        <v>5.26</v>
      </c>
      <c r="O1034" s="431">
        <v>5.01</v>
      </c>
      <c r="P1034" s="431">
        <v>4.43</v>
      </c>
      <c r="Q1034" s="179">
        <f t="shared" si="31"/>
        <v>5.7091666666666656</v>
      </c>
      <c r="R1034" s="179" t="s">
        <v>994</v>
      </c>
    </row>
    <row r="1035" spans="1:18" x14ac:dyDescent="0.15">
      <c r="A1035" s="179" t="str">
        <f t="shared" si="30"/>
        <v>Leon_Flat Surface_247.5</v>
      </c>
      <c r="B1035" s="501" t="s">
        <v>988</v>
      </c>
      <c r="C1035" s="429">
        <v>0</v>
      </c>
      <c r="D1035" s="429">
        <v>247.5</v>
      </c>
      <c r="E1035" s="431">
        <v>4.51</v>
      </c>
      <c r="F1035" s="431">
        <v>5.59</v>
      </c>
      <c r="G1035" s="431">
        <v>6.56</v>
      </c>
      <c r="H1035" s="431">
        <v>6.76</v>
      </c>
      <c r="I1035" s="431">
        <v>6.81</v>
      </c>
      <c r="J1035" s="431">
        <v>6.33</v>
      </c>
      <c r="K1035" s="431">
        <v>6.03</v>
      </c>
      <c r="L1035" s="431">
        <v>5.88</v>
      </c>
      <c r="M1035" s="431">
        <v>5.34</v>
      </c>
      <c r="N1035" s="431">
        <v>5.26</v>
      </c>
      <c r="O1035" s="431">
        <v>5.01</v>
      </c>
      <c r="P1035" s="431">
        <v>4.43</v>
      </c>
      <c r="Q1035" s="179">
        <f t="shared" si="31"/>
        <v>5.7091666666666656</v>
      </c>
      <c r="R1035" s="179" t="s">
        <v>994</v>
      </c>
    </row>
    <row r="1036" spans="1:18" x14ac:dyDescent="0.15">
      <c r="A1036" s="179" t="str">
        <f t="shared" si="30"/>
        <v>Leon_Flat Surface_270</v>
      </c>
      <c r="B1036" s="501" t="s">
        <v>988</v>
      </c>
      <c r="C1036" s="429">
        <v>0</v>
      </c>
      <c r="D1036" s="429">
        <v>270</v>
      </c>
      <c r="E1036" s="431">
        <v>4.51</v>
      </c>
      <c r="F1036" s="431">
        <v>5.59</v>
      </c>
      <c r="G1036" s="431">
        <v>6.56</v>
      </c>
      <c r="H1036" s="431">
        <v>6.76</v>
      </c>
      <c r="I1036" s="431">
        <v>6.81</v>
      </c>
      <c r="J1036" s="431">
        <v>6.33</v>
      </c>
      <c r="K1036" s="431">
        <v>6.03</v>
      </c>
      <c r="L1036" s="431">
        <v>5.88</v>
      </c>
      <c r="M1036" s="431">
        <v>5.34</v>
      </c>
      <c r="N1036" s="431">
        <v>5.26</v>
      </c>
      <c r="O1036" s="431">
        <v>5.01</v>
      </c>
      <c r="P1036" s="431">
        <v>4.43</v>
      </c>
      <c r="Q1036" s="179">
        <f t="shared" si="31"/>
        <v>5.7091666666666656</v>
      </c>
      <c r="R1036" s="179" t="s">
        <v>994</v>
      </c>
    </row>
    <row r="1037" spans="1:18" x14ac:dyDescent="0.15">
      <c r="A1037" s="179" t="str">
        <f t="shared" si="30"/>
        <v>Leon_Optimal Summer_90</v>
      </c>
      <c r="B1037" s="501" t="s">
        <v>988</v>
      </c>
      <c r="C1037" s="429">
        <v>6</v>
      </c>
      <c r="D1037" s="429">
        <v>90</v>
      </c>
      <c r="E1037" s="431">
        <v>3.9</v>
      </c>
      <c r="F1037" s="431">
        <v>4.75</v>
      </c>
      <c r="G1037" s="431">
        <v>5.42</v>
      </c>
      <c r="H1037" s="431">
        <v>5.45</v>
      </c>
      <c r="I1037" s="431">
        <v>5.38</v>
      </c>
      <c r="J1037" s="431">
        <v>5.1100000000000003</v>
      </c>
      <c r="K1037" s="431">
        <v>4.8600000000000003</v>
      </c>
      <c r="L1037" s="431">
        <v>4.7</v>
      </c>
      <c r="M1037" s="431">
        <v>4.3499999999999996</v>
      </c>
      <c r="N1037" s="431">
        <v>4.4000000000000004</v>
      </c>
      <c r="O1037" s="431">
        <v>4.34</v>
      </c>
      <c r="P1037" s="431">
        <v>3.86</v>
      </c>
      <c r="Q1037" s="179">
        <f t="shared" si="31"/>
        <v>4.71</v>
      </c>
      <c r="R1037" s="179" t="s">
        <v>958</v>
      </c>
    </row>
    <row r="1038" spans="1:18" x14ac:dyDescent="0.15">
      <c r="A1038" s="179" t="str">
        <f t="shared" si="30"/>
        <v>Leon_Optimal Summer_112.5</v>
      </c>
      <c r="B1038" s="501" t="s">
        <v>988</v>
      </c>
      <c r="C1038" s="429">
        <v>6</v>
      </c>
      <c r="D1038" s="429">
        <v>112.5</v>
      </c>
      <c r="E1038" s="431">
        <v>4.26</v>
      </c>
      <c r="F1038" s="431">
        <v>5.2</v>
      </c>
      <c r="G1038" s="431">
        <v>5.93</v>
      </c>
      <c r="H1038" s="431">
        <v>5.96</v>
      </c>
      <c r="I1038" s="431">
        <v>5.89</v>
      </c>
      <c r="J1038" s="431">
        <v>5.59</v>
      </c>
      <c r="K1038" s="431">
        <v>5.31</v>
      </c>
      <c r="L1038" s="431">
        <v>5.14</v>
      </c>
      <c r="M1038" s="431">
        <v>4.76</v>
      </c>
      <c r="N1038" s="431">
        <v>4.8099999999999996</v>
      </c>
      <c r="O1038" s="431">
        <v>4.74</v>
      </c>
      <c r="P1038" s="431">
        <v>4.2300000000000004</v>
      </c>
      <c r="Q1038" s="179">
        <f t="shared" si="31"/>
        <v>5.1516666666666673</v>
      </c>
      <c r="R1038" s="179" t="s">
        <v>958</v>
      </c>
    </row>
    <row r="1039" spans="1:18" x14ac:dyDescent="0.15">
      <c r="A1039" s="179" t="str">
        <f t="shared" si="30"/>
        <v>Leon_Optimal Summer_135</v>
      </c>
      <c r="B1039" s="501" t="s">
        <v>988</v>
      </c>
      <c r="C1039" s="429">
        <v>6</v>
      </c>
      <c r="D1039" s="429">
        <v>135</v>
      </c>
      <c r="E1039" s="431">
        <v>4.63</v>
      </c>
      <c r="F1039" s="431">
        <v>5.64</v>
      </c>
      <c r="G1039" s="431">
        <v>6.44</v>
      </c>
      <c r="H1039" s="431">
        <v>6.47</v>
      </c>
      <c r="I1039" s="431">
        <v>6.39</v>
      </c>
      <c r="J1039" s="431">
        <v>6.07</v>
      </c>
      <c r="K1039" s="431">
        <v>5.77</v>
      </c>
      <c r="L1039" s="431">
        <v>5.59</v>
      </c>
      <c r="M1039" s="431">
        <v>5.17</v>
      </c>
      <c r="N1039" s="431">
        <v>5.22</v>
      </c>
      <c r="O1039" s="431">
        <v>5.15</v>
      </c>
      <c r="P1039" s="431">
        <v>4.59</v>
      </c>
      <c r="Q1039" s="179">
        <f t="shared" si="31"/>
        <v>5.5941666666666663</v>
      </c>
      <c r="R1039" s="179" t="s">
        <v>958</v>
      </c>
    </row>
    <row r="1040" spans="1:18" x14ac:dyDescent="0.15">
      <c r="A1040" s="179" t="str">
        <f t="shared" si="30"/>
        <v>Leon_Optimal Summer_157.5</v>
      </c>
      <c r="B1040" s="501" t="s">
        <v>988</v>
      </c>
      <c r="C1040" s="429">
        <v>6</v>
      </c>
      <c r="D1040" s="429">
        <v>157.5</v>
      </c>
      <c r="E1040" s="431">
        <v>4.75</v>
      </c>
      <c r="F1040" s="431">
        <v>5.79</v>
      </c>
      <c r="G1040" s="431">
        <v>6.61</v>
      </c>
      <c r="H1040" s="431">
        <v>6.64</v>
      </c>
      <c r="I1040" s="431">
        <v>6.56</v>
      </c>
      <c r="J1040" s="431">
        <v>6.23</v>
      </c>
      <c r="K1040" s="431">
        <v>5.92</v>
      </c>
      <c r="L1040" s="431">
        <v>5.73</v>
      </c>
      <c r="M1040" s="431">
        <v>5.3</v>
      </c>
      <c r="N1040" s="431">
        <v>5.36</v>
      </c>
      <c r="O1040" s="431">
        <v>5.28</v>
      </c>
      <c r="P1040" s="431">
        <v>4.71</v>
      </c>
      <c r="Q1040" s="179">
        <f t="shared" si="31"/>
        <v>5.7399999999999993</v>
      </c>
      <c r="R1040" s="179" t="s">
        <v>958</v>
      </c>
    </row>
    <row r="1041" spans="1:18" x14ac:dyDescent="0.15">
      <c r="A1041" s="179" t="str">
        <f t="shared" si="30"/>
        <v>Leon_Optimal Summer_180</v>
      </c>
      <c r="B1041" s="501" t="s">
        <v>988</v>
      </c>
      <c r="C1041" s="429">
        <v>6</v>
      </c>
      <c r="D1041" s="429">
        <v>180</v>
      </c>
      <c r="E1041" s="431">
        <v>4.87</v>
      </c>
      <c r="F1041" s="431">
        <v>5.94</v>
      </c>
      <c r="G1041" s="431">
        <v>6.78</v>
      </c>
      <c r="H1041" s="431">
        <v>6.81</v>
      </c>
      <c r="I1041" s="431">
        <v>6.73</v>
      </c>
      <c r="J1041" s="431">
        <v>6.39</v>
      </c>
      <c r="K1041" s="431">
        <v>6.07</v>
      </c>
      <c r="L1041" s="431">
        <v>5.88</v>
      </c>
      <c r="M1041" s="431">
        <v>5.44</v>
      </c>
      <c r="N1041" s="431">
        <v>5.5</v>
      </c>
      <c r="O1041" s="431">
        <v>5.42</v>
      </c>
      <c r="P1041" s="431">
        <v>4.83</v>
      </c>
      <c r="Q1041" s="179">
        <f t="shared" si="31"/>
        <v>5.8883333333333328</v>
      </c>
      <c r="R1041" s="179" t="s">
        <v>958</v>
      </c>
    </row>
    <row r="1042" spans="1:18" x14ac:dyDescent="0.15">
      <c r="A1042" s="179" t="str">
        <f t="shared" si="30"/>
        <v>Leon_Optimal Summer_202.5</v>
      </c>
      <c r="B1042" s="501" t="s">
        <v>988</v>
      </c>
      <c r="C1042" s="429">
        <v>6</v>
      </c>
      <c r="D1042" s="429">
        <v>202.5</v>
      </c>
      <c r="E1042" s="431">
        <v>4.75</v>
      </c>
      <c r="F1042" s="431">
        <v>5.79</v>
      </c>
      <c r="G1042" s="431">
        <v>6.61</v>
      </c>
      <c r="H1042" s="431">
        <v>6.64</v>
      </c>
      <c r="I1042" s="431">
        <v>6.56</v>
      </c>
      <c r="J1042" s="431">
        <v>6.23</v>
      </c>
      <c r="K1042" s="431">
        <v>5.92</v>
      </c>
      <c r="L1042" s="431">
        <v>5.73</v>
      </c>
      <c r="M1042" s="431">
        <v>5.3</v>
      </c>
      <c r="N1042" s="431">
        <v>5.36</v>
      </c>
      <c r="O1042" s="431">
        <v>5.28</v>
      </c>
      <c r="P1042" s="431">
        <v>4.71</v>
      </c>
      <c r="Q1042" s="179">
        <f t="shared" si="31"/>
        <v>5.7399999999999993</v>
      </c>
      <c r="R1042" s="179" t="s">
        <v>958</v>
      </c>
    </row>
    <row r="1043" spans="1:18" x14ac:dyDescent="0.15">
      <c r="A1043" s="179" t="str">
        <f t="shared" si="30"/>
        <v>Leon_Optimal Summer_225</v>
      </c>
      <c r="B1043" s="501" t="s">
        <v>988</v>
      </c>
      <c r="C1043" s="429">
        <v>6</v>
      </c>
      <c r="D1043" s="429">
        <v>225</v>
      </c>
      <c r="E1043" s="431">
        <v>4.63</v>
      </c>
      <c r="F1043" s="431">
        <v>5.64</v>
      </c>
      <c r="G1043" s="431">
        <v>6.44</v>
      </c>
      <c r="H1043" s="431">
        <v>6.47</v>
      </c>
      <c r="I1043" s="431">
        <v>6.39</v>
      </c>
      <c r="J1043" s="431">
        <v>6.07</v>
      </c>
      <c r="K1043" s="431">
        <v>5.77</v>
      </c>
      <c r="L1043" s="431">
        <v>5.59</v>
      </c>
      <c r="M1043" s="431">
        <v>5.17</v>
      </c>
      <c r="N1043" s="431">
        <v>5.22</v>
      </c>
      <c r="O1043" s="431">
        <v>5.15</v>
      </c>
      <c r="P1043" s="431">
        <v>4.59</v>
      </c>
      <c r="Q1043" s="179">
        <f t="shared" si="31"/>
        <v>5.5941666666666663</v>
      </c>
      <c r="R1043" s="179" t="s">
        <v>958</v>
      </c>
    </row>
    <row r="1044" spans="1:18" x14ac:dyDescent="0.15">
      <c r="A1044" s="179" t="str">
        <f t="shared" si="30"/>
        <v>Leon_Optimal Summer_247.5</v>
      </c>
      <c r="B1044" s="501" t="s">
        <v>988</v>
      </c>
      <c r="C1044" s="429">
        <v>6</v>
      </c>
      <c r="D1044" s="429">
        <v>247.5</v>
      </c>
      <c r="E1044" s="431">
        <v>4.26</v>
      </c>
      <c r="F1044" s="431">
        <v>5.2</v>
      </c>
      <c r="G1044" s="431">
        <v>5.93</v>
      </c>
      <c r="H1044" s="431">
        <v>5.96</v>
      </c>
      <c r="I1044" s="431">
        <v>5.89</v>
      </c>
      <c r="J1044" s="431">
        <v>5.59</v>
      </c>
      <c r="K1044" s="431">
        <v>5.31</v>
      </c>
      <c r="L1044" s="431">
        <v>5.14</v>
      </c>
      <c r="M1044" s="431">
        <v>4.76</v>
      </c>
      <c r="N1044" s="431">
        <v>4.8099999999999996</v>
      </c>
      <c r="O1044" s="431">
        <v>4.74</v>
      </c>
      <c r="P1044" s="431">
        <v>4.2300000000000004</v>
      </c>
      <c r="Q1044" s="179">
        <f t="shared" si="31"/>
        <v>5.1516666666666673</v>
      </c>
      <c r="R1044" s="179" t="s">
        <v>958</v>
      </c>
    </row>
    <row r="1045" spans="1:18" x14ac:dyDescent="0.15">
      <c r="A1045" s="179" t="str">
        <f t="shared" si="30"/>
        <v>Leon_Optimal Summer_270</v>
      </c>
      <c r="B1045" s="501" t="s">
        <v>988</v>
      </c>
      <c r="C1045" s="429">
        <v>6</v>
      </c>
      <c r="D1045" s="429">
        <v>270</v>
      </c>
      <c r="E1045" s="431">
        <v>3.9</v>
      </c>
      <c r="F1045" s="431">
        <v>4.75</v>
      </c>
      <c r="G1045" s="431">
        <v>5.42</v>
      </c>
      <c r="H1045" s="431">
        <v>5.45</v>
      </c>
      <c r="I1045" s="431">
        <v>5.38</v>
      </c>
      <c r="J1045" s="431">
        <v>5.1100000000000003</v>
      </c>
      <c r="K1045" s="431">
        <v>4.8600000000000003</v>
      </c>
      <c r="L1045" s="431">
        <v>4.7</v>
      </c>
      <c r="M1045" s="431">
        <v>4.3499999999999996</v>
      </c>
      <c r="N1045" s="431">
        <v>4.4000000000000004</v>
      </c>
      <c r="O1045" s="431">
        <v>4.34</v>
      </c>
      <c r="P1045" s="431">
        <v>3.86</v>
      </c>
      <c r="Q1045" s="179">
        <f t="shared" si="31"/>
        <v>4.71</v>
      </c>
      <c r="R1045" s="179" t="s">
        <v>958</v>
      </c>
    </row>
    <row r="1046" spans="1:18" x14ac:dyDescent="0.15">
      <c r="A1046" s="179" t="str">
        <f t="shared" si="30"/>
        <v>Leon_Optimal Year Round_90</v>
      </c>
      <c r="B1046" s="501" t="s">
        <v>988</v>
      </c>
      <c r="C1046" s="429">
        <v>21</v>
      </c>
      <c r="D1046" s="429">
        <v>90</v>
      </c>
      <c r="E1046" s="431">
        <v>4.46</v>
      </c>
      <c r="F1046" s="431">
        <v>5.24</v>
      </c>
      <c r="G1046" s="431">
        <v>5.65</v>
      </c>
      <c r="H1046" s="431">
        <v>5.34</v>
      </c>
      <c r="I1046" s="431">
        <v>5.03</v>
      </c>
      <c r="J1046" s="431">
        <v>5.0599999999999996</v>
      </c>
      <c r="K1046" s="431">
        <v>4.7699999999999996</v>
      </c>
      <c r="L1046" s="431">
        <v>4.54</v>
      </c>
      <c r="M1046" s="431">
        <v>4.3899999999999997</v>
      </c>
      <c r="N1046" s="431">
        <v>4.7300000000000004</v>
      </c>
      <c r="O1046" s="431">
        <v>4.9800000000000004</v>
      </c>
      <c r="P1046" s="431">
        <v>4.5</v>
      </c>
      <c r="Q1046" s="179">
        <f t="shared" si="31"/>
        <v>4.8908333333333331</v>
      </c>
      <c r="R1046" s="179" t="s">
        <v>993</v>
      </c>
    </row>
    <row r="1047" spans="1:18" x14ac:dyDescent="0.15">
      <c r="A1047" s="179" t="str">
        <f t="shared" si="30"/>
        <v>Leon_Optimal Year Round_112.5</v>
      </c>
      <c r="B1047" s="501" t="s">
        <v>988</v>
      </c>
      <c r="C1047" s="429">
        <v>21</v>
      </c>
      <c r="D1047" s="429">
        <v>112.5</v>
      </c>
      <c r="E1047" s="431">
        <v>4.88</v>
      </c>
      <c r="F1047" s="431">
        <v>5.73</v>
      </c>
      <c r="G1047" s="431">
        <v>6.18</v>
      </c>
      <c r="H1047" s="431">
        <v>5.84</v>
      </c>
      <c r="I1047" s="431">
        <v>5.5</v>
      </c>
      <c r="J1047" s="431">
        <v>5.53</v>
      </c>
      <c r="K1047" s="431">
        <v>5.22</v>
      </c>
      <c r="L1047" s="431">
        <v>4.96</v>
      </c>
      <c r="M1047" s="431">
        <v>4.8</v>
      </c>
      <c r="N1047" s="431">
        <v>5.17</v>
      </c>
      <c r="O1047" s="431">
        <v>5.44</v>
      </c>
      <c r="P1047" s="431">
        <v>4.93</v>
      </c>
      <c r="Q1047" s="179">
        <f t="shared" si="31"/>
        <v>5.3483333333333327</v>
      </c>
      <c r="R1047" s="179" t="s">
        <v>993</v>
      </c>
    </row>
    <row r="1048" spans="1:18" x14ac:dyDescent="0.15">
      <c r="A1048" s="179" t="str">
        <f t="shared" si="30"/>
        <v>Leon_Optimal Year Round_135</v>
      </c>
      <c r="B1048" s="501" t="s">
        <v>988</v>
      </c>
      <c r="C1048" s="429">
        <v>21</v>
      </c>
      <c r="D1048" s="429">
        <v>135</v>
      </c>
      <c r="E1048" s="431">
        <v>5.3</v>
      </c>
      <c r="F1048" s="431">
        <v>6.22</v>
      </c>
      <c r="G1048" s="431">
        <v>6.71</v>
      </c>
      <c r="H1048" s="431">
        <v>6.35</v>
      </c>
      <c r="I1048" s="431">
        <v>5.98</v>
      </c>
      <c r="J1048" s="431">
        <v>6</v>
      </c>
      <c r="K1048" s="431">
        <v>5.66</v>
      </c>
      <c r="L1048" s="431">
        <v>5.39</v>
      </c>
      <c r="M1048" s="431">
        <v>5.22</v>
      </c>
      <c r="N1048" s="431">
        <v>5.61</v>
      </c>
      <c r="O1048" s="431">
        <v>5.91</v>
      </c>
      <c r="P1048" s="431">
        <v>5.35</v>
      </c>
      <c r="Q1048" s="179">
        <f t="shared" si="31"/>
        <v>5.8083333333333327</v>
      </c>
      <c r="R1048" s="179" t="s">
        <v>993</v>
      </c>
    </row>
    <row r="1049" spans="1:18" x14ac:dyDescent="0.15">
      <c r="A1049" s="179" t="str">
        <f t="shared" si="30"/>
        <v>Leon_Optimal Year Round_157.5</v>
      </c>
      <c r="B1049" s="501" t="s">
        <v>988</v>
      </c>
      <c r="C1049" s="429">
        <v>21</v>
      </c>
      <c r="D1049" s="429">
        <v>157.5</v>
      </c>
      <c r="E1049" s="431">
        <v>5.44</v>
      </c>
      <c r="F1049" s="431">
        <v>6.39</v>
      </c>
      <c r="G1049" s="431">
        <v>6.88</v>
      </c>
      <c r="H1049" s="431">
        <v>6.51</v>
      </c>
      <c r="I1049" s="431">
        <v>6.13</v>
      </c>
      <c r="J1049" s="431">
        <v>6.16</v>
      </c>
      <c r="K1049" s="431">
        <v>5.81</v>
      </c>
      <c r="L1049" s="431">
        <v>5.53</v>
      </c>
      <c r="M1049" s="431">
        <v>5.35</v>
      </c>
      <c r="N1049" s="431">
        <v>5.76</v>
      </c>
      <c r="O1049" s="431">
        <v>6.06</v>
      </c>
      <c r="P1049" s="431">
        <v>5.49</v>
      </c>
      <c r="Q1049" s="179">
        <f t="shared" si="31"/>
        <v>5.9591666666666656</v>
      </c>
      <c r="R1049" s="179" t="s">
        <v>993</v>
      </c>
    </row>
    <row r="1050" spans="1:18" x14ac:dyDescent="0.15">
      <c r="A1050" s="179" t="str">
        <f t="shared" si="30"/>
        <v>Leon_Optimal Year Round_180</v>
      </c>
      <c r="B1050" s="501" t="s">
        <v>988</v>
      </c>
      <c r="C1050" s="429">
        <v>21</v>
      </c>
      <c r="D1050" s="429">
        <v>180</v>
      </c>
      <c r="E1050" s="431">
        <v>5.58</v>
      </c>
      <c r="F1050" s="431">
        <v>6.55</v>
      </c>
      <c r="G1050" s="431">
        <v>7.06</v>
      </c>
      <c r="H1050" s="431">
        <v>6.68</v>
      </c>
      <c r="I1050" s="431">
        <v>6.29</v>
      </c>
      <c r="J1050" s="431">
        <v>6.32</v>
      </c>
      <c r="K1050" s="431">
        <v>5.96</v>
      </c>
      <c r="L1050" s="431">
        <v>5.67</v>
      </c>
      <c r="M1050" s="431">
        <v>5.49</v>
      </c>
      <c r="N1050" s="431">
        <v>5.91</v>
      </c>
      <c r="O1050" s="431">
        <v>6.22</v>
      </c>
      <c r="P1050" s="431">
        <v>5.63</v>
      </c>
      <c r="Q1050" s="179">
        <f t="shared" si="31"/>
        <v>6.1133333333333333</v>
      </c>
      <c r="R1050" s="179" t="s">
        <v>993</v>
      </c>
    </row>
    <row r="1051" spans="1:18" x14ac:dyDescent="0.15">
      <c r="A1051" s="179" t="str">
        <f t="shared" si="30"/>
        <v>Leon_Optimal Year Round_202.5</v>
      </c>
      <c r="B1051" s="501" t="s">
        <v>988</v>
      </c>
      <c r="C1051" s="429">
        <v>21</v>
      </c>
      <c r="D1051" s="429">
        <v>202.5</v>
      </c>
      <c r="E1051" s="431">
        <v>5.44</v>
      </c>
      <c r="F1051" s="431">
        <v>6.39</v>
      </c>
      <c r="G1051" s="431">
        <v>6.88</v>
      </c>
      <c r="H1051" s="431">
        <v>6.51</v>
      </c>
      <c r="I1051" s="431">
        <v>6.13</v>
      </c>
      <c r="J1051" s="431">
        <v>6.16</v>
      </c>
      <c r="K1051" s="431">
        <v>5.81</v>
      </c>
      <c r="L1051" s="431">
        <v>5.53</v>
      </c>
      <c r="M1051" s="431">
        <v>5.35</v>
      </c>
      <c r="N1051" s="431">
        <v>5.76</v>
      </c>
      <c r="O1051" s="431">
        <v>6.06</v>
      </c>
      <c r="P1051" s="431">
        <v>5.49</v>
      </c>
      <c r="Q1051" s="179">
        <f t="shared" si="31"/>
        <v>5.9591666666666656</v>
      </c>
      <c r="R1051" s="179" t="s">
        <v>993</v>
      </c>
    </row>
    <row r="1052" spans="1:18" x14ac:dyDescent="0.15">
      <c r="A1052" s="179" t="str">
        <f t="shared" si="30"/>
        <v>Leon_Optimal Year Round_225</v>
      </c>
      <c r="B1052" s="501" t="s">
        <v>988</v>
      </c>
      <c r="C1052" s="429">
        <v>21</v>
      </c>
      <c r="D1052" s="429">
        <v>225</v>
      </c>
      <c r="E1052" s="431">
        <v>5.3</v>
      </c>
      <c r="F1052" s="431">
        <v>6.22</v>
      </c>
      <c r="G1052" s="431">
        <v>6.71</v>
      </c>
      <c r="H1052" s="431">
        <v>6.35</v>
      </c>
      <c r="I1052" s="431">
        <v>5.98</v>
      </c>
      <c r="J1052" s="431">
        <v>6</v>
      </c>
      <c r="K1052" s="431">
        <v>5.66</v>
      </c>
      <c r="L1052" s="431">
        <v>5.39</v>
      </c>
      <c r="M1052" s="431">
        <v>5.22</v>
      </c>
      <c r="N1052" s="431">
        <v>5.61</v>
      </c>
      <c r="O1052" s="431">
        <v>5.91</v>
      </c>
      <c r="P1052" s="431">
        <v>5.35</v>
      </c>
      <c r="Q1052" s="179">
        <f t="shared" si="31"/>
        <v>5.8083333333333327</v>
      </c>
      <c r="R1052" s="179" t="s">
        <v>993</v>
      </c>
    </row>
    <row r="1053" spans="1:18" x14ac:dyDescent="0.15">
      <c r="A1053" s="179" t="str">
        <f t="shared" si="30"/>
        <v>Leon_Optimal Year Round_247.5</v>
      </c>
      <c r="B1053" s="501" t="s">
        <v>988</v>
      </c>
      <c r="C1053" s="429">
        <v>21</v>
      </c>
      <c r="D1053" s="429">
        <v>247.5</v>
      </c>
      <c r="E1053" s="431">
        <v>4.88</v>
      </c>
      <c r="F1053" s="431">
        <v>5.73</v>
      </c>
      <c r="G1053" s="431">
        <v>6.18</v>
      </c>
      <c r="H1053" s="431">
        <v>5.84</v>
      </c>
      <c r="I1053" s="431">
        <v>5.5</v>
      </c>
      <c r="J1053" s="431">
        <v>5.53</v>
      </c>
      <c r="K1053" s="431">
        <v>5.22</v>
      </c>
      <c r="L1053" s="431">
        <v>4.96</v>
      </c>
      <c r="M1053" s="431">
        <v>4.8</v>
      </c>
      <c r="N1053" s="431">
        <v>5.17</v>
      </c>
      <c r="O1053" s="431">
        <v>5.44</v>
      </c>
      <c r="P1053" s="431">
        <v>4.93</v>
      </c>
      <c r="Q1053" s="179">
        <f t="shared" si="31"/>
        <v>5.3483333333333327</v>
      </c>
      <c r="R1053" s="179" t="s">
        <v>993</v>
      </c>
    </row>
    <row r="1054" spans="1:18" x14ac:dyDescent="0.15">
      <c r="A1054" s="179" t="str">
        <f t="shared" si="30"/>
        <v>Leon_Optimal Year Round_270</v>
      </c>
      <c r="B1054" s="501" t="s">
        <v>988</v>
      </c>
      <c r="C1054" s="429">
        <v>21</v>
      </c>
      <c r="D1054" s="429">
        <v>270</v>
      </c>
      <c r="E1054" s="431">
        <v>4.46</v>
      </c>
      <c r="F1054" s="431">
        <v>5.24</v>
      </c>
      <c r="G1054" s="431">
        <v>5.65</v>
      </c>
      <c r="H1054" s="431">
        <v>5.34</v>
      </c>
      <c r="I1054" s="431">
        <v>5.03</v>
      </c>
      <c r="J1054" s="431">
        <v>5.0599999999999996</v>
      </c>
      <c r="K1054" s="431">
        <v>4.7699999999999996</v>
      </c>
      <c r="L1054" s="431">
        <v>4.54</v>
      </c>
      <c r="M1054" s="431">
        <v>4.3899999999999997</v>
      </c>
      <c r="N1054" s="431">
        <v>4.7300000000000004</v>
      </c>
      <c r="O1054" s="431">
        <v>4.9800000000000004</v>
      </c>
      <c r="P1054" s="431">
        <v>4.5</v>
      </c>
      <c r="Q1054" s="179">
        <f t="shared" si="31"/>
        <v>4.8908333333333331</v>
      </c>
      <c r="R1054" s="179" t="s">
        <v>993</v>
      </c>
    </row>
    <row r="1055" spans="1:18" x14ac:dyDescent="0.15">
      <c r="A1055" s="179" t="str">
        <f t="shared" si="30"/>
        <v>Los Mochis_Flat Surface_90</v>
      </c>
      <c r="B1055" s="501" t="s">
        <v>1148</v>
      </c>
      <c r="C1055" s="429">
        <v>0</v>
      </c>
      <c r="D1055" s="429">
        <v>90</v>
      </c>
      <c r="E1055" s="431">
        <v>4.12</v>
      </c>
      <c r="F1055" s="431">
        <v>5.07</v>
      </c>
      <c r="G1055" s="431">
        <v>6.33</v>
      </c>
      <c r="H1055" s="431">
        <v>7.07</v>
      </c>
      <c r="I1055" s="431">
        <v>7.73</v>
      </c>
      <c r="J1055" s="431">
        <v>7.45</v>
      </c>
      <c r="K1055" s="431">
        <v>6.51</v>
      </c>
      <c r="L1055" s="431">
        <v>6.11</v>
      </c>
      <c r="M1055" s="431">
        <v>5.65</v>
      </c>
      <c r="N1055" s="431">
        <v>5.23</v>
      </c>
      <c r="O1055" s="431">
        <v>4.34</v>
      </c>
      <c r="P1055" s="431">
        <v>3.81</v>
      </c>
      <c r="Q1055" s="179">
        <f t="shared" si="31"/>
        <v>5.7850000000000001</v>
      </c>
      <c r="R1055" s="179" t="s">
        <v>994</v>
      </c>
    </row>
    <row r="1056" spans="1:18" x14ac:dyDescent="0.15">
      <c r="A1056" s="179" t="str">
        <f t="shared" si="30"/>
        <v>Los Mochis_Flat Surface_112.5</v>
      </c>
      <c r="B1056" s="501" t="s">
        <v>1148</v>
      </c>
      <c r="C1056" s="429">
        <v>0</v>
      </c>
      <c r="D1056" s="429">
        <v>112.5</v>
      </c>
      <c r="E1056" s="431">
        <v>4.12</v>
      </c>
      <c r="F1056" s="431">
        <v>5.07</v>
      </c>
      <c r="G1056" s="431">
        <v>6.33</v>
      </c>
      <c r="H1056" s="431">
        <v>7.07</v>
      </c>
      <c r="I1056" s="431">
        <v>7.73</v>
      </c>
      <c r="J1056" s="431">
        <v>7.45</v>
      </c>
      <c r="K1056" s="431">
        <v>6.51</v>
      </c>
      <c r="L1056" s="431">
        <v>6.11</v>
      </c>
      <c r="M1056" s="431">
        <v>5.65</v>
      </c>
      <c r="N1056" s="431">
        <v>5.23</v>
      </c>
      <c r="O1056" s="431">
        <v>4.34</v>
      </c>
      <c r="P1056" s="431">
        <v>3.81</v>
      </c>
      <c r="Q1056" s="179">
        <f t="shared" si="31"/>
        <v>5.7850000000000001</v>
      </c>
      <c r="R1056" s="179" t="s">
        <v>994</v>
      </c>
    </row>
    <row r="1057" spans="1:18" x14ac:dyDescent="0.15">
      <c r="A1057" s="179" t="str">
        <f t="shared" si="30"/>
        <v>Los Mochis_Flat Surface_135</v>
      </c>
      <c r="B1057" s="501" t="s">
        <v>1148</v>
      </c>
      <c r="C1057" s="429">
        <v>0</v>
      </c>
      <c r="D1057" s="429">
        <v>135</v>
      </c>
      <c r="E1057" s="431">
        <v>4.12</v>
      </c>
      <c r="F1057" s="431">
        <v>5.07</v>
      </c>
      <c r="G1057" s="431">
        <v>6.33</v>
      </c>
      <c r="H1057" s="431">
        <v>7.07</v>
      </c>
      <c r="I1057" s="431">
        <v>7.73</v>
      </c>
      <c r="J1057" s="431">
        <v>7.45</v>
      </c>
      <c r="K1057" s="431">
        <v>6.51</v>
      </c>
      <c r="L1057" s="431">
        <v>6.11</v>
      </c>
      <c r="M1057" s="431">
        <v>5.65</v>
      </c>
      <c r="N1057" s="431">
        <v>5.23</v>
      </c>
      <c r="O1057" s="431">
        <v>4.34</v>
      </c>
      <c r="P1057" s="431">
        <v>3.81</v>
      </c>
      <c r="Q1057" s="179">
        <f t="shared" si="31"/>
        <v>5.7850000000000001</v>
      </c>
      <c r="R1057" s="179" t="s">
        <v>994</v>
      </c>
    </row>
    <row r="1058" spans="1:18" x14ac:dyDescent="0.15">
      <c r="A1058" s="179" t="str">
        <f t="shared" si="30"/>
        <v>Los Mochis_Flat Surface_157.5</v>
      </c>
      <c r="B1058" s="501" t="s">
        <v>1148</v>
      </c>
      <c r="C1058" s="429">
        <v>0</v>
      </c>
      <c r="D1058" s="429">
        <v>157.5</v>
      </c>
      <c r="E1058" s="431">
        <v>4.12</v>
      </c>
      <c r="F1058" s="431">
        <v>5.07</v>
      </c>
      <c r="G1058" s="431">
        <v>6.33</v>
      </c>
      <c r="H1058" s="431">
        <v>7.07</v>
      </c>
      <c r="I1058" s="431">
        <v>7.73</v>
      </c>
      <c r="J1058" s="431">
        <v>7.45</v>
      </c>
      <c r="K1058" s="431">
        <v>6.51</v>
      </c>
      <c r="L1058" s="431">
        <v>6.11</v>
      </c>
      <c r="M1058" s="431">
        <v>5.65</v>
      </c>
      <c r="N1058" s="431">
        <v>5.23</v>
      </c>
      <c r="O1058" s="431">
        <v>4.34</v>
      </c>
      <c r="P1058" s="431">
        <v>3.81</v>
      </c>
      <c r="Q1058" s="179">
        <f t="shared" si="31"/>
        <v>5.7850000000000001</v>
      </c>
      <c r="R1058" s="179" t="s">
        <v>994</v>
      </c>
    </row>
    <row r="1059" spans="1:18" x14ac:dyDescent="0.15">
      <c r="A1059" s="179" t="str">
        <f t="shared" si="30"/>
        <v>Los Mochis_Flat Surface_180</v>
      </c>
      <c r="B1059" s="501" t="s">
        <v>1148</v>
      </c>
      <c r="C1059" s="429">
        <v>0</v>
      </c>
      <c r="D1059" s="429">
        <v>180</v>
      </c>
      <c r="E1059" s="431">
        <v>4.12</v>
      </c>
      <c r="F1059" s="431">
        <v>5.07</v>
      </c>
      <c r="G1059" s="431">
        <v>6.33</v>
      </c>
      <c r="H1059" s="431">
        <v>7.07</v>
      </c>
      <c r="I1059" s="431">
        <v>7.73</v>
      </c>
      <c r="J1059" s="431">
        <v>7.45</v>
      </c>
      <c r="K1059" s="431">
        <v>6.51</v>
      </c>
      <c r="L1059" s="431">
        <v>6.11</v>
      </c>
      <c r="M1059" s="431">
        <v>5.65</v>
      </c>
      <c r="N1059" s="431">
        <v>5.23</v>
      </c>
      <c r="O1059" s="431">
        <v>4.34</v>
      </c>
      <c r="P1059" s="431">
        <v>3.81</v>
      </c>
      <c r="Q1059" s="179">
        <f t="shared" si="31"/>
        <v>5.7850000000000001</v>
      </c>
      <c r="R1059" s="179" t="s">
        <v>994</v>
      </c>
    </row>
    <row r="1060" spans="1:18" x14ac:dyDescent="0.15">
      <c r="A1060" s="179" t="str">
        <f t="shared" si="30"/>
        <v>Los Mochis_Flat Surface_202.5</v>
      </c>
      <c r="B1060" s="501" t="s">
        <v>1148</v>
      </c>
      <c r="C1060" s="429">
        <v>0</v>
      </c>
      <c r="D1060" s="429">
        <v>202.5</v>
      </c>
      <c r="E1060" s="431">
        <v>4.12</v>
      </c>
      <c r="F1060" s="431">
        <v>5.07</v>
      </c>
      <c r="G1060" s="431">
        <v>6.33</v>
      </c>
      <c r="H1060" s="431">
        <v>7.07</v>
      </c>
      <c r="I1060" s="431">
        <v>7.73</v>
      </c>
      <c r="J1060" s="431">
        <v>7.45</v>
      </c>
      <c r="K1060" s="431">
        <v>6.51</v>
      </c>
      <c r="L1060" s="431">
        <v>6.11</v>
      </c>
      <c r="M1060" s="431">
        <v>5.65</v>
      </c>
      <c r="N1060" s="431">
        <v>5.23</v>
      </c>
      <c r="O1060" s="431">
        <v>4.34</v>
      </c>
      <c r="P1060" s="431">
        <v>3.81</v>
      </c>
      <c r="Q1060" s="179">
        <f t="shared" si="31"/>
        <v>5.7850000000000001</v>
      </c>
      <c r="R1060" s="179" t="s">
        <v>994</v>
      </c>
    </row>
    <row r="1061" spans="1:18" x14ac:dyDescent="0.15">
      <c r="A1061" s="179" t="str">
        <f t="shared" si="30"/>
        <v>Los Mochis_Flat Surface_225</v>
      </c>
      <c r="B1061" s="501" t="s">
        <v>1148</v>
      </c>
      <c r="C1061" s="429">
        <v>0</v>
      </c>
      <c r="D1061" s="429">
        <v>225</v>
      </c>
      <c r="E1061" s="431">
        <v>4.12</v>
      </c>
      <c r="F1061" s="431">
        <v>5.07</v>
      </c>
      <c r="G1061" s="431">
        <v>6.33</v>
      </c>
      <c r="H1061" s="431">
        <v>7.07</v>
      </c>
      <c r="I1061" s="431">
        <v>7.73</v>
      </c>
      <c r="J1061" s="431">
        <v>7.45</v>
      </c>
      <c r="K1061" s="431">
        <v>6.51</v>
      </c>
      <c r="L1061" s="431">
        <v>6.11</v>
      </c>
      <c r="M1061" s="431">
        <v>5.65</v>
      </c>
      <c r="N1061" s="431">
        <v>5.23</v>
      </c>
      <c r="O1061" s="431">
        <v>4.34</v>
      </c>
      <c r="P1061" s="431">
        <v>3.81</v>
      </c>
      <c r="Q1061" s="179">
        <f t="shared" si="31"/>
        <v>5.7850000000000001</v>
      </c>
      <c r="R1061" s="179" t="s">
        <v>994</v>
      </c>
    </row>
    <row r="1062" spans="1:18" x14ac:dyDescent="0.15">
      <c r="A1062" s="179" t="str">
        <f t="shared" si="30"/>
        <v>Los Mochis_Flat Surface_247.5</v>
      </c>
      <c r="B1062" s="501" t="s">
        <v>1148</v>
      </c>
      <c r="C1062" s="429">
        <v>0</v>
      </c>
      <c r="D1062" s="429">
        <v>247.5</v>
      </c>
      <c r="E1062" s="431">
        <v>4.12</v>
      </c>
      <c r="F1062" s="431">
        <v>5.07</v>
      </c>
      <c r="G1062" s="431">
        <v>6.33</v>
      </c>
      <c r="H1062" s="431">
        <v>7.07</v>
      </c>
      <c r="I1062" s="431">
        <v>7.73</v>
      </c>
      <c r="J1062" s="431">
        <v>7.45</v>
      </c>
      <c r="K1062" s="431">
        <v>6.51</v>
      </c>
      <c r="L1062" s="431">
        <v>6.11</v>
      </c>
      <c r="M1062" s="431">
        <v>5.65</v>
      </c>
      <c r="N1062" s="431">
        <v>5.23</v>
      </c>
      <c r="O1062" s="431">
        <v>4.34</v>
      </c>
      <c r="P1062" s="431">
        <v>3.81</v>
      </c>
      <c r="Q1062" s="179">
        <f t="shared" si="31"/>
        <v>5.7850000000000001</v>
      </c>
      <c r="R1062" s="179" t="s">
        <v>994</v>
      </c>
    </row>
    <row r="1063" spans="1:18" x14ac:dyDescent="0.15">
      <c r="A1063" s="179" t="str">
        <f t="shared" si="30"/>
        <v>Los Mochis_Flat Surface_270</v>
      </c>
      <c r="B1063" s="501" t="s">
        <v>1148</v>
      </c>
      <c r="C1063" s="429">
        <v>0</v>
      </c>
      <c r="D1063" s="429">
        <v>270</v>
      </c>
      <c r="E1063" s="431">
        <v>4.12</v>
      </c>
      <c r="F1063" s="431">
        <v>5.07</v>
      </c>
      <c r="G1063" s="431">
        <v>6.33</v>
      </c>
      <c r="H1063" s="431">
        <v>7.07</v>
      </c>
      <c r="I1063" s="431">
        <v>7.73</v>
      </c>
      <c r="J1063" s="431">
        <v>7.45</v>
      </c>
      <c r="K1063" s="431">
        <v>6.51</v>
      </c>
      <c r="L1063" s="431">
        <v>6.11</v>
      </c>
      <c r="M1063" s="431">
        <v>5.65</v>
      </c>
      <c r="N1063" s="431">
        <v>5.23</v>
      </c>
      <c r="O1063" s="431">
        <v>4.34</v>
      </c>
      <c r="P1063" s="431">
        <v>3.81</v>
      </c>
      <c r="Q1063" s="179">
        <f t="shared" si="31"/>
        <v>5.7850000000000001</v>
      </c>
      <c r="R1063" s="179" t="s">
        <v>994</v>
      </c>
    </row>
    <row r="1064" spans="1:18" x14ac:dyDescent="0.15">
      <c r="A1064" s="179" t="str">
        <f t="shared" si="30"/>
        <v>Los Mochis_Optimal Summer_90</v>
      </c>
      <c r="B1064" s="501" t="s">
        <v>1148</v>
      </c>
      <c r="C1064" s="429">
        <v>11</v>
      </c>
      <c r="D1064" s="429">
        <v>90</v>
      </c>
      <c r="E1064" s="431">
        <v>3.81</v>
      </c>
      <c r="F1064" s="431">
        <v>4.51</v>
      </c>
      <c r="G1064" s="431">
        <v>5.39</v>
      </c>
      <c r="H1064" s="431">
        <v>5.76</v>
      </c>
      <c r="I1064" s="431">
        <v>6.08</v>
      </c>
      <c r="J1064" s="431">
        <v>5.78</v>
      </c>
      <c r="K1064" s="431">
        <v>5.0999999999999996</v>
      </c>
      <c r="L1064" s="431">
        <v>4.8899999999999997</v>
      </c>
      <c r="M1064" s="431">
        <v>4.7</v>
      </c>
      <c r="N1064" s="431">
        <v>4.57</v>
      </c>
      <c r="O1064" s="431">
        <v>3.96</v>
      </c>
      <c r="P1064" s="431">
        <v>3.55</v>
      </c>
      <c r="Q1064" s="179">
        <f t="shared" si="31"/>
        <v>4.8416666666666668</v>
      </c>
      <c r="R1064" s="179" t="s">
        <v>958</v>
      </c>
    </row>
    <row r="1065" spans="1:18" x14ac:dyDescent="0.15">
      <c r="A1065" s="179" t="str">
        <f t="shared" si="30"/>
        <v>Los Mochis_Optimal Summer_112.5</v>
      </c>
      <c r="B1065" s="501" t="s">
        <v>1148</v>
      </c>
      <c r="C1065" s="429">
        <v>11</v>
      </c>
      <c r="D1065" s="429">
        <v>112.5</v>
      </c>
      <c r="E1065" s="431">
        <v>4.16</v>
      </c>
      <c r="F1065" s="431">
        <v>4.9400000000000004</v>
      </c>
      <c r="G1065" s="431">
        <v>5.9</v>
      </c>
      <c r="H1065" s="431">
        <v>6.3</v>
      </c>
      <c r="I1065" s="431">
        <v>6.65</v>
      </c>
      <c r="J1065" s="431">
        <v>6.33</v>
      </c>
      <c r="K1065" s="431">
        <v>5.57</v>
      </c>
      <c r="L1065" s="431">
        <v>5.35</v>
      </c>
      <c r="M1065" s="431">
        <v>5.14</v>
      </c>
      <c r="N1065" s="431">
        <v>5</v>
      </c>
      <c r="O1065" s="431">
        <v>4.33</v>
      </c>
      <c r="P1065" s="431">
        <v>3.88</v>
      </c>
      <c r="Q1065" s="179">
        <f t="shared" si="31"/>
        <v>5.2958333333333334</v>
      </c>
      <c r="R1065" s="179" t="s">
        <v>958</v>
      </c>
    </row>
    <row r="1066" spans="1:18" x14ac:dyDescent="0.15">
      <c r="A1066" s="179" t="str">
        <f t="shared" si="30"/>
        <v>Los Mochis_Optimal Summer_135</v>
      </c>
      <c r="B1066" s="501" t="s">
        <v>1148</v>
      </c>
      <c r="C1066" s="429">
        <v>11</v>
      </c>
      <c r="D1066" s="429">
        <v>135</v>
      </c>
      <c r="E1066" s="431">
        <v>4.5199999999999996</v>
      </c>
      <c r="F1066" s="431">
        <v>5.36</v>
      </c>
      <c r="G1066" s="431">
        <v>6.4</v>
      </c>
      <c r="H1066" s="431">
        <v>6.84</v>
      </c>
      <c r="I1066" s="431">
        <v>7.22</v>
      </c>
      <c r="J1066" s="431">
        <v>6.87</v>
      </c>
      <c r="K1066" s="431">
        <v>6.05</v>
      </c>
      <c r="L1066" s="431">
        <v>5.8</v>
      </c>
      <c r="M1066" s="431">
        <v>5.58</v>
      </c>
      <c r="N1066" s="431">
        <v>5.42</v>
      </c>
      <c r="O1066" s="431">
        <v>4.7</v>
      </c>
      <c r="P1066" s="431">
        <v>4.22</v>
      </c>
      <c r="Q1066" s="179">
        <f t="shared" si="31"/>
        <v>5.7483333333333322</v>
      </c>
      <c r="R1066" s="179" t="s">
        <v>958</v>
      </c>
    </row>
    <row r="1067" spans="1:18" x14ac:dyDescent="0.15">
      <c r="A1067" s="179" t="str">
        <f t="shared" si="30"/>
        <v>Los Mochis_Optimal Summer_157.5</v>
      </c>
      <c r="B1067" s="501" t="s">
        <v>1148</v>
      </c>
      <c r="C1067" s="429">
        <v>11</v>
      </c>
      <c r="D1067" s="429">
        <v>157.5</v>
      </c>
      <c r="E1067" s="431">
        <v>4.6399999999999997</v>
      </c>
      <c r="F1067" s="431">
        <v>5.5</v>
      </c>
      <c r="G1067" s="431">
        <v>6.57</v>
      </c>
      <c r="H1067" s="431">
        <v>7.02</v>
      </c>
      <c r="I1067" s="431">
        <v>7.41</v>
      </c>
      <c r="J1067" s="431">
        <v>7.05</v>
      </c>
      <c r="K1067" s="431">
        <v>6.21</v>
      </c>
      <c r="L1067" s="431">
        <v>5.96</v>
      </c>
      <c r="M1067" s="431">
        <v>5.72</v>
      </c>
      <c r="N1067" s="431">
        <v>5.57</v>
      </c>
      <c r="O1067" s="431">
        <v>4.83</v>
      </c>
      <c r="P1067" s="431">
        <v>4.33</v>
      </c>
      <c r="Q1067" s="179">
        <f t="shared" si="31"/>
        <v>5.9008333333333338</v>
      </c>
      <c r="R1067" s="179" t="s">
        <v>958</v>
      </c>
    </row>
    <row r="1068" spans="1:18" x14ac:dyDescent="0.15">
      <c r="A1068" s="179" t="str">
        <f t="shared" si="30"/>
        <v>Los Mochis_Optimal Summer_180</v>
      </c>
      <c r="B1068" s="501" t="s">
        <v>1148</v>
      </c>
      <c r="C1068" s="429">
        <v>11</v>
      </c>
      <c r="D1068" s="429">
        <v>180</v>
      </c>
      <c r="E1068" s="431">
        <v>4.76</v>
      </c>
      <c r="F1068" s="431">
        <v>5.64</v>
      </c>
      <c r="G1068" s="431">
        <v>6.74</v>
      </c>
      <c r="H1068" s="431">
        <v>7.2</v>
      </c>
      <c r="I1068" s="431">
        <v>7.6</v>
      </c>
      <c r="J1068" s="431">
        <v>7.23</v>
      </c>
      <c r="K1068" s="431">
        <v>6.37</v>
      </c>
      <c r="L1068" s="431">
        <v>6.11</v>
      </c>
      <c r="M1068" s="431">
        <v>5.87</v>
      </c>
      <c r="N1068" s="431">
        <v>5.71</v>
      </c>
      <c r="O1068" s="431">
        <v>4.95</v>
      </c>
      <c r="P1068" s="431">
        <v>4.4400000000000004</v>
      </c>
      <c r="Q1068" s="179">
        <f t="shared" si="31"/>
        <v>6.0516666666666659</v>
      </c>
      <c r="R1068" s="179" t="s">
        <v>958</v>
      </c>
    </row>
    <row r="1069" spans="1:18" x14ac:dyDescent="0.15">
      <c r="A1069" s="179" t="str">
        <f t="shared" si="30"/>
        <v>Los Mochis_Optimal Summer_202.5</v>
      </c>
      <c r="B1069" s="501" t="s">
        <v>1148</v>
      </c>
      <c r="C1069" s="429">
        <v>11</v>
      </c>
      <c r="D1069" s="429">
        <v>202.5</v>
      </c>
      <c r="E1069" s="431">
        <v>4.6399999999999997</v>
      </c>
      <c r="F1069" s="431">
        <v>5.5</v>
      </c>
      <c r="G1069" s="431">
        <v>6.57</v>
      </c>
      <c r="H1069" s="431">
        <v>7.02</v>
      </c>
      <c r="I1069" s="431">
        <v>7.41</v>
      </c>
      <c r="J1069" s="431">
        <v>7.05</v>
      </c>
      <c r="K1069" s="431">
        <v>6.21</v>
      </c>
      <c r="L1069" s="431">
        <v>5.96</v>
      </c>
      <c r="M1069" s="431">
        <v>5.72</v>
      </c>
      <c r="N1069" s="431">
        <v>5.57</v>
      </c>
      <c r="O1069" s="431">
        <v>4.83</v>
      </c>
      <c r="P1069" s="431">
        <v>4.33</v>
      </c>
      <c r="Q1069" s="179">
        <f t="shared" si="31"/>
        <v>5.9008333333333338</v>
      </c>
      <c r="R1069" s="179" t="s">
        <v>958</v>
      </c>
    </row>
    <row r="1070" spans="1:18" x14ac:dyDescent="0.15">
      <c r="A1070" s="179" t="str">
        <f t="shared" si="30"/>
        <v>Los Mochis_Optimal Summer_225</v>
      </c>
      <c r="B1070" s="501" t="s">
        <v>1148</v>
      </c>
      <c r="C1070" s="429">
        <v>11</v>
      </c>
      <c r="D1070" s="429">
        <v>225</v>
      </c>
      <c r="E1070" s="431">
        <v>4.5199999999999996</v>
      </c>
      <c r="F1070" s="431">
        <v>5.36</v>
      </c>
      <c r="G1070" s="431">
        <v>6.4</v>
      </c>
      <c r="H1070" s="431">
        <v>6.84</v>
      </c>
      <c r="I1070" s="431">
        <v>7.22</v>
      </c>
      <c r="J1070" s="431">
        <v>6.87</v>
      </c>
      <c r="K1070" s="431">
        <v>6.05</v>
      </c>
      <c r="L1070" s="431">
        <v>5.8</v>
      </c>
      <c r="M1070" s="431">
        <v>5.58</v>
      </c>
      <c r="N1070" s="431">
        <v>5.42</v>
      </c>
      <c r="O1070" s="431">
        <v>4.7</v>
      </c>
      <c r="P1070" s="431">
        <v>4.22</v>
      </c>
      <c r="Q1070" s="179">
        <f t="shared" si="31"/>
        <v>5.7483333333333322</v>
      </c>
      <c r="R1070" s="179" t="s">
        <v>958</v>
      </c>
    </row>
    <row r="1071" spans="1:18" x14ac:dyDescent="0.15">
      <c r="A1071" s="179" t="str">
        <f t="shared" si="30"/>
        <v>Los Mochis_Optimal Summer_247.5</v>
      </c>
      <c r="B1071" s="501" t="s">
        <v>1148</v>
      </c>
      <c r="C1071" s="429">
        <v>11</v>
      </c>
      <c r="D1071" s="429">
        <v>247.5</v>
      </c>
      <c r="E1071" s="431">
        <v>4.16</v>
      </c>
      <c r="F1071" s="431">
        <v>4.9400000000000004</v>
      </c>
      <c r="G1071" s="431">
        <v>5.9</v>
      </c>
      <c r="H1071" s="431">
        <v>6.3</v>
      </c>
      <c r="I1071" s="431">
        <v>6.65</v>
      </c>
      <c r="J1071" s="431">
        <v>6.33</v>
      </c>
      <c r="K1071" s="431">
        <v>5.57</v>
      </c>
      <c r="L1071" s="431">
        <v>5.35</v>
      </c>
      <c r="M1071" s="431">
        <v>5.14</v>
      </c>
      <c r="N1071" s="431">
        <v>5</v>
      </c>
      <c r="O1071" s="431">
        <v>4.33</v>
      </c>
      <c r="P1071" s="431">
        <v>3.88</v>
      </c>
      <c r="Q1071" s="179">
        <f t="shared" si="31"/>
        <v>5.2958333333333334</v>
      </c>
      <c r="R1071" s="179" t="s">
        <v>958</v>
      </c>
    </row>
    <row r="1072" spans="1:18" x14ac:dyDescent="0.15">
      <c r="A1072" s="179" t="str">
        <f t="shared" si="30"/>
        <v>Los Mochis_Optimal Summer_270</v>
      </c>
      <c r="B1072" s="501" t="s">
        <v>1148</v>
      </c>
      <c r="C1072" s="429">
        <v>11</v>
      </c>
      <c r="D1072" s="429">
        <v>270</v>
      </c>
      <c r="E1072" s="431">
        <v>3.81</v>
      </c>
      <c r="F1072" s="431">
        <v>4.51</v>
      </c>
      <c r="G1072" s="431">
        <v>5.39</v>
      </c>
      <c r="H1072" s="431">
        <v>5.76</v>
      </c>
      <c r="I1072" s="431">
        <v>6.08</v>
      </c>
      <c r="J1072" s="431">
        <v>5.78</v>
      </c>
      <c r="K1072" s="431">
        <v>5.0999999999999996</v>
      </c>
      <c r="L1072" s="431">
        <v>4.8899999999999997</v>
      </c>
      <c r="M1072" s="431">
        <v>4.7</v>
      </c>
      <c r="N1072" s="431">
        <v>4.57</v>
      </c>
      <c r="O1072" s="431">
        <v>3.96</v>
      </c>
      <c r="P1072" s="431">
        <v>3.55</v>
      </c>
      <c r="Q1072" s="179">
        <f t="shared" si="31"/>
        <v>4.8416666666666668</v>
      </c>
      <c r="R1072" s="179" t="s">
        <v>958</v>
      </c>
    </row>
    <row r="1073" spans="1:18" x14ac:dyDescent="0.15">
      <c r="A1073" s="179" t="str">
        <f t="shared" si="30"/>
        <v>Los Mochis_Optimal Year Round_90</v>
      </c>
      <c r="B1073" s="501" t="s">
        <v>1148</v>
      </c>
      <c r="C1073" s="429">
        <v>26</v>
      </c>
      <c r="D1073" s="429">
        <v>90</v>
      </c>
      <c r="E1073" s="431">
        <v>4.38</v>
      </c>
      <c r="F1073" s="431">
        <v>4.99</v>
      </c>
      <c r="G1073" s="431">
        <v>5.63</v>
      </c>
      <c r="H1073" s="431">
        <v>5.66</v>
      </c>
      <c r="I1073" s="431">
        <v>5.66</v>
      </c>
      <c r="J1073" s="431">
        <v>5.28</v>
      </c>
      <c r="K1073" s="431">
        <v>4.7300000000000004</v>
      </c>
      <c r="L1073" s="431">
        <v>4.6900000000000004</v>
      </c>
      <c r="M1073" s="431">
        <v>4.76</v>
      </c>
      <c r="N1073" s="431">
        <v>4.9400000000000004</v>
      </c>
      <c r="O1073" s="431">
        <v>4.51</v>
      </c>
      <c r="P1073" s="431">
        <v>4.1399999999999997</v>
      </c>
      <c r="Q1073" s="179">
        <f t="shared" si="31"/>
        <v>4.9474999999999989</v>
      </c>
      <c r="R1073" s="179" t="s">
        <v>993</v>
      </c>
    </row>
    <row r="1074" spans="1:18" x14ac:dyDescent="0.15">
      <c r="A1074" s="179" t="str">
        <f t="shared" si="30"/>
        <v>Los Mochis_Optimal Year Round_112.5</v>
      </c>
      <c r="B1074" s="501" t="s">
        <v>1148</v>
      </c>
      <c r="C1074" s="429">
        <v>26</v>
      </c>
      <c r="D1074" s="429">
        <v>112.5</v>
      </c>
      <c r="E1074" s="431">
        <v>4.8</v>
      </c>
      <c r="F1074" s="431">
        <v>5.46</v>
      </c>
      <c r="G1074" s="431">
        <v>6.16</v>
      </c>
      <c r="H1074" s="431">
        <v>6.2</v>
      </c>
      <c r="I1074" s="431">
        <v>6.19</v>
      </c>
      <c r="J1074" s="431">
        <v>5.78</v>
      </c>
      <c r="K1074" s="431">
        <v>5.17</v>
      </c>
      <c r="L1074" s="431">
        <v>5.13</v>
      </c>
      <c r="M1074" s="431">
        <v>5.21</v>
      </c>
      <c r="N1074" s="431">
        <v>5.4</v>
      </c>
      <c r="O1074" s="431">
        <v>4.9400000000000004</v>
      </c>
      <c r="P1074" s="431">
        <v>4.5199999999999996</v>
      </c>
      <c r="Q1074" s="179">
        <f t="shared" si="31"/>
        <v>5.413333333333334</v>
      </c>
      <c r="R1074" s="179" t="s">
        <v>993</v>
      </c>
    </row>
    <row r="1075" spans="1:18" x14ac:dyDescent="0.15">
      <c r="A1075" s="179" t="str">
        <f t="shared" si="30"/>
        <v>Los Mochis_Optimal Year Round_135</v>
      </c>
      <c r="B1075" s="501" t="s">
        <v>1148</v>
      </c>
      <c r="C1075" s="429">
        <v>26</v>
      </c>
      <c r="D1075" s="429">
        <v>135</v>
      </c>
      <c r="E1075" s="431">
        <v>5.21</v>
      </c>
      <c r="F1075" s="431">
        <v>5.93</v>
      </c>
      <c r="G1075" s="431">
        <v>6.69</v>
      </c>
      <c r="H1075" s="431">
        <v>6.73</v>
      </c>
      <c r="I1075" s="431">
        <v>6.72</v>
      </c>
      <c r="J1075" s="431">
        <v>6.27</v>
      </c>
      <c r="K1075" s="431">
        <v>5.61</v>
      </c>
      <c r="L1075" s="431">
        <v>5.57</v>
      </c>
      <c r="M1075" s="431">
        <v>5.65</v>
      </c>
      <c r="N1075" s="431">
        <v>5.86</v>
      </c>
      <c r="O1075" s="431">
        <v>5.36</v>
      </c>
      <c r="P1075" s="431">
        <v>4.91</v>
      </c>
      <c r="Q1075" s="179">
        <f t="shared" si="31"/>
        <v>5.8758333333333326</v>
      </c>
      <c r="R1075" s="179" t="s">
        <v>993</v>
      </c>
    </row>
    <row r="1076" spans="1:18" x14ac:dyDescent="0.15">
      <c r="A1076" s="179" t="str">
        <f t="shared" si="30"/>
        <v>Los Mochis_Optimal Year Round_157.5</v>
      </c>
      <c r="B1076" s="501" t="s">
        <v>1148</v>
      </c>
      <c r="C1076" s="429">
        <v>26</v>
      </c>
      <c r="D1076" s="429">
        <v>157.5</v>
      </c>
      <c r="E1076" s="431">
        <v>5.34</v>
      </c>
      <c r="F1076" s="431">
        <v>6.08</v>
      </c>
      <c r="G1076" s="431">
        <v>6.86</v>
      </c>
      <c r="H1076" s="431">
        <v>6.9</v>
      </c>
      <c r="I1076" s="431">
        <v>6.89</v>
      </c>
      <c r="J1076" s="431">
        <v>6.44</v>
      </c>
      <c r="K1076" s="431">
        <v>5.76</v>
      </c>
      <c r="L1076" s="431">
        <v>5.71</v>
      </c>
      <c r="M1076" s="431">
        <v>5.8</v>
      </c>
      <c r="N1076" s="431">
        <v>6.02</v>
      </c>
      <c r="O1076" s="431">
        <v>5.5</v>
      </c>
      <c r="P1076" s="431">
        <v>5.04</v>
      </c>
      <c r="Q1076" s="179">
        <f t="shared" si="31"/>
        <v>6.0283333333333333</v>
      </c>
      <c r="R1076" s="179" t="s">
        <v>993</v>
      </c>
    </row>
    <row r="1077" spans="1:18" x14ac:dyDescent="0.15">
      <c r="A1077" s="179" t="str">
        <f t="shared" si="30"/>
        <v>Los Mochis_Optimal Year Round_180</v>
      </c>
      <c r="B1077" s="501" t="s">
        <v>1148</v>
      </c>
      <c r="C1077" s="429">
        <v>26</v>
      </c>
      <c r="D1077" s="429">
        <v>180</v>
      </c>
      <c r="E1077" s="431">
        <v>5.48</v>
      </c>
      <c r="F1077" s="431">
        <v>6.24</v>
      </c>
      <c r="G1077" s="431">
        <v>7.04</v>
      </c>
      <c r="H1077" s="431">
        <v>7.08</v>
      </c>
      <c r="I1077" s="431">
        <v>7.07</v>
      </c>
      <c r="J1077" s="431">
        <v>6.6</v>
      </c>
      <c r="K1077" s="431">
        <v>5.91</v>
      </c>
      <c r="L1077" s="431">
        <v>5.86</v>
      </c>
      <c r="M1077" s="431">
        <v>5.95</v>
      </c>
      <c r="N1077" s="431">
        <v>6.17</v>
      </c>
      <c r="O1077" s="431">
        <v>5.64</v>
      </c>
      <c r="P1077" s="431">
        <v>5.17</v>
      </c>
      <c r="Q1077" s="179">
        <f t="shared" si="31"/>
        <v>6.184166666666667</v>
      </c>
      <c r="R1077" s="179" t="s">
        <v>993</v>
      </c>
    </row>
    <row r="1078" spans="1:18" x14ac:dyDescent="0.15">
      <c r="A1078" s="179" t="str">
        <f t="shared" si="30"/>
        <v>Los Mochis_Optimal Year Round_202.5</v>
      </c>
      <c r="B1078" s="501" t="s">
        <v>1148</v>
      </c>
      <c r="C1078" s="429">
        <v>26</v>
      </c>
      <c r="D1078" s="429">
        <v>202.5</v>
      </c>
      <c r="E1078" s="431">
        <v>5.34</v>
      </c>
      <c r="F1078" s="431">
        <v>6.08</v>
      </c>
      <c r="G1078" s="431">
        <v>6.86</v>
      </c>
      <c r="H1078" s="431">
        <v>6.9</v>
      </c>
      <c r="I1078" s="431">
        <v>6.89</v>
      </c>
      <c r="J1078" s="431">
        <v>6.44</v>
      </c>
      <c r="K1078" s="431">
        <v>5.76</v>
      </c>
      <c r="L1078" s="431">
        <v>5.71</v>
      </c>
      <c r="M1078" s="431">
        <v>5.8</v>
      </c>
      <c r="N1078" s="431">
        <v>6.02</v>
      </c>
      <c r="O1078" s="431">
        <v>5.5</v>
      </c>
      <c r="P1078" s="431">
        <v>5.04</v>
      </c>
      <c r="Q1078" s="179">
        <f t="shared" si="31"/>
        <v>6.0283333333333333</v>
      </c>
      <c r="R1078" s="179" t="s">
        <v>993</v>
      </c>
    </row>
    <row r="1079" spans="1:18" x14ac:dyDescent="0.15">
      <c r="A1079" s="179" t="str">
        <f t="shared" si="30"/>
        <v>Los Mochis_Optimal Year Round_225</v>
      </c>
      <c r="B1079" s="501" t="s">
        <v>1148</v>
      </c>
      <c r="C1079" s="429">
        <v>26</v>
      </c>
      <c r="D1079" s="429">
        <v>225</v>
      </c>
      <c r="E1079" s="431">
        <v>5.21</v>
      </c>
      <c r="F1079" s="431">
        <v>5.93</v>
      </c>
      <c r="G1079" s="431">
        <v>6.69</v>
      </c>
      <c r="H1079" s="431">
        <v>6.73</v>
      </c>
      <c r="I1079" s="431">
        <v>6.72</v>
      </c>
      <c r="J1079" s="431">
        <v>6.27</v>
      </c>
      <c r="K1079" s="431">
        <v>5.61</v>
      </c>
      <c r="L1079" s="431">
        <v>5.57</v>
      </c>
      <c r="M1079" s="431">
        <v>5.65</v>
      </c>
      <c r="N1079" s="431">
        <v>5.86</v>
      </c>
      <c r="O1079" s="431">
        <v>5.36</v>
      </c>
      <c r="P1079" s="431">
        <v>4.91</v>
      </c>
      <c r="Q1079" s="179">
        <f t="shared" si="31"/>
        <v>5.8758333333333326</v>
      </c>
      <c r="R1079" s="179" t="s">
        <v>993</v>
      </c>
    </row>
    <row r="1080" spans="1:18" x14ac:dyDescent="0.15">
      <c r="A1080" s="179" t="str">
        <f t="shared" si="30"/>
        <v>Los Mochis_Optimal Year Round_247.5</v>
      </c>
      <c r="B1080" s="501" t="s">
        <v>1148</v>
      </c>
      <c r="C1080" s="429">
        <v>26</v>
      </c>
      <c r="D1080" s="429">
        <v>247.5</v>
      </c>
      <c r="E1080" s="431">
        <v>4.8</v>
      </c>
      <c r="F1080" s="431">
        <v>5.46</v>
      </c>
      <c r="G1080" s="431">
        <v>6.16</v>
      </c>
      <c r="H1080" s="431">
        <v>6.2</v>
      </c>
      <c r="I1080" s="431">
        <v>6.19</v>
      </c>
      <c r="J1080" s="431">
        <v>5.78</v>
      </c>
      <c r="K1080" s="431">
        <v>5.17</v>
      </c>
      <c r="L1080" s="431">
        <v>5.13</v>
      </c>
      <c r="M1080" s="431">
        <v>5.21</v>
      </c>
      <c r="N1080" s="431">
        <v>5.4</v>
      </c>
      <c r="O1080" s="431">
        <v>4.9400000000000004</v>
      </c>
      <c r="P1080" s="431">
        <v>4.5199999999999996</v>
      </c>
      <c r="Q1080" s="179">
        <f t="shared" si="31"/>
        <v>5.413333333333334</v>
      </c>
      <c r="R1080" s="179" t="s">
        <v>993</v>
      </c>
    </row>
    <row r="1081" spans="1:18" x14ac:dyDescent="0.15">
      <c r="A1081" s="179" t="str">
        <f t="shared" si="30"/>
        <v>Los Mochis_Optimal Year Round_270</v>
      </c>
      <c r="B1081" s="501" t="s">
        <v>1148</v>
      </c>
      <c r="C1081" s="429">
        <v>26</v>
      </c>
      <c r="D1081" s="429">
        <v>270</v>
      </c>
      <c r="E1081" s="431">
        <v>4.38</v>
      </c>
      <c r="F1081" s="431">
        <v>4.99</v>
      </c>
      <c r="G1081" s="431">
        <v>5.63</v>
      </c>
      <c r="H1081" s="431">
        <v>5.66</v>
      </c>
      <c r="I1081" s="431">
        <v>5.66</v>
      </c>
      <c r="J1081" s="431">
        <v>5.28</v>
      </c>
      <c r="K1081" s="431">
        <v>4.7300000000000004</v>
      </c>
      <c r="L1081" s="431">
        <v>4.6900000000000004</v>
      </c>
      <c r="M1081" s="431">
        <v>4.76</v>
      </c>
      <c r="N1081" s="431">
        <v>4.9400000000000004</v>
      </c>
      <c r="O1081" s="431">
        <v>4.51</v>
      </c>
      <c r="P1081" s="431">
        <v>4.1399999999999997</v>
      </c>
      <c r="Q1081" s="179">
        <f t="shared" si="31"/>
        <v>4.9474999999999989</v>
      </c>
      <c r="R1081" s="179" t="s">
        <v>993</v>
      </c>
    </row>
    <row r="1082" spans="1:18" x14ac:dyDescent="0.15">
      <c r="A1082" s="179" t="str">
        <f t="shared" si="30"/>
        <v>Los Reyes_Flat Surface_90</v>
      </c>
      <c r="B1082" s="501" t="s">
        <v>1149</v>
      </c>
      <c r="C1082" s="429">
        <v>0</v>
      </c>
      <c r="D1082" s="429">
        <v>90</v>
      </c>
      <c r="E1082" s="431">
        <v>4.6900000000000004</v>
      </c>
      <c r="F1082" s="431">
        <v>5.45</v>
      </c>
      <c r="G1082" s="431">
        <v>6.13</v>
      </c>
      <c r="H1082" s="431">
        <v>6.1</v>
      </c>
      <c r="I1082" s="431">
        <v>6.13</v>
      </c>
      <c r="J1082" s="431">
        <v>5.61</v>
      </c>
      <c r="K1082" s="431">
        <v>5.64</v>
      </c>
      <c r="L1082" s="431">
        <v>5.46</v>
      </c>
      <c r="M1082" s="431">
        <v>4.88</v>
      </c>
      <c r="N1082" s="431">
        <v>4.8899999999999997</v>
      </c>
      <c r="O1082" s="431">
        <v>4.75</v>
      </c>
      <c r="P1082" s="431">
        <v>4.34</v>
      </c>
      <c r="Q1082" s="179">
        <f t="shared" si="31"/>
        <v>5.3391666666666673</v>
      </c>
      <c r="R1082" s="179" t="s">
        <v>994</v>
      </c>
    </row>
    <row r="1083" spans="1:18" x14ac:dyDescent="0.15">
      <c r="A1083" s="179" t="str">
        <f t="shared" si="30"/>
        <v>Los Reyes_Flat Surface_112.5</v>
      </c>
      <c r="B1083" s="501" t="s">
        <v>1149</v>
      </c>
      <c r="C1083" s="429">
        <v>0</v>
      </c>
      <c r="D1083" s="429">
        <v>112.5</v>
      </c>
      <c r="E1083" s="431">
        <v>4.6900000000000004</v>
      </c>
      <c r="F1083" s="431">
        <v>5.45</v>
      </c>
      <c r="G1083" s="431">
        <v>6.13</v>
      </c>
      <c r="H1083" s="431">
        <v>6.1</v>
      </c>
      <c r="I1083" s="431">
        <v>6.13</v>
      </c>
      <c r="J1083" s="431">
        <v>5.61</v>
      </c>
      <c r="K1083" s="431">
        <v>5.64</v>
      </c>
      <c r="L1083" s="431">
        <v>5.46</v>
      </c>
      <c r="M1083" s="431">
        <v>4.88</v>
      </c>
      <c r="N1083" s="431">
        <v>4.8899999999999997</v>
      </c>
      <c r="O1083" s="431">
        <v>4.75</v>
      </c>
      <c r="P1083" s="431">
        <v>4.34</v>
      </c>
      <c r="Q1083" s="179">
        <f t="shared" si="31"/>
        <v>5.3391666666666673</v>
      </c>
      <c r="R1083" s="179" t="s">
        <v>994</v>
      </c>
    </row>
    <row r="1084" spans="1:18" x14ac:dyDescent="0.15">
      <c r="A1084" s="179" t="str">
        <f t="shared" si="30"/>
        <v>Los Reyes_Flat Surface_135</v>
      </c>
      <c r="B1084" s="501" t="s">
        <v>1149</v>
      </c>
      <c r="C1084" s="429">
        <v>0</v>
      </c>
      <c r="D1084" s="429">
        <v>135</v>
      </c>
      <c r="E1084" s="431">
        <v>4.6900000000000004</v>
      </c>
      <c r="F1084" s="431">
        <v>5.45</v>
      </c>
      <c r="G1084" s="431">
        <v>6.13</v>
      </c>
      <c r="H1084" s="431">
        <v>6.1</v>
      </c>
      <c r="I1084" s="431">
        <v>6.13</v>
      </c>
      <c r="J1084" s="431">
        <v>5.61</v>
      </c>
      <c r="K1084" s="431">
        <v>5.64</v>
      </c>
      <c r="L1084" s="431">
        <v>5.46</v>
      </c>
      <c r="M1084" s="431">
        <v>4.88</v>
      </c>
      <c r="N1084" s="431">
        <v>4.8899999999999997</v>
      </c>
      <c r="O1084" s="431">
        <v>4.75</v>
      </c>
      <c r="P1084" s="431">
        <v>4.34</v>
      </c>
      <c r="Q1084" s="179">
        <f t="shared" si="31"/>
        <v>5.3391666666666673</v>
      </c>
      <c r="R1084" s="179" t="s">
        <v>994</v>
      </c>
    </row>
    <row r="1085" spans="1:18" x14ac:dyDescent="0.15">
      <c r="A1085" s="179" t="str">
        <f t="shared" si="30"/>
        <v>Los Reyes_Flat Surface_157.5</v>
      </c>
      <c r="B1085" s="501" t="s">
        <v>1149</v>
      </c>
      <c r="C1085" s="429">
        <v>0</v>
      </c>
      <c r="D1085" s="429">
        <v>157.5</v>
      </c>
      <c r="E1085" s="431">
        <v>4.6900000000000004</v>
      </c>
      <c r="F1085" s="431">
        <v>5.45</v>
      </c>
      <c r="G1085" s="431">
        <v>6.13</v>
      </c>
      <c r="H1085" s="431">
        <v>6.1</v>
      </c>
      <c r="I1085" s="431">
        <v>6.13</v>
      </c>
      <c r="J1085" s="431">
        <v>5.61</v>
      </c>
      <c r="K1085" s="431">
        <v>5.64</v>
      </c>
      <c r="L1085" s="431">
        <v>5.46</v>
      </c>
      <c r="M1085" s="431">
        <v>4.88</v>
      </c>
      <c r="N1085" s="431">
        <v>4.8899999999999997</v>
      </c>
      <c r="O1085" s="431">
        <v>4.75</v>
      </c>
      <c r="P1085" s="431">
        <v>4.34</v>
      </c>
      <c r="Q1085" s="179">
        <f t="shared" si="31"/>
        <v>5.3391666666666673</v>
      </c>
      <c r="R1085" s="179" t="s">
        <v>994</v>
      </c>
    </row>
    <row r="1086" spans="1:18" x14ac:dyDescent="0.15">
      <c r="A1086" s="179" t="str">
        <f t="shared" si="30"/>
        <v>Los Reyes_Flat Surface_180</v>
      </c>
      <c r="B1086" s="501" t="s">
        <v>1149</v>
      </c>
      <c r="C1086" s="429">
        <v>0</v>
      </c>
      <c r="D1086" s="429">
        <v>180</v>
      </c>
      <c r="E1086" s="431">
        <v>4.6900000000000004</v>
      </c>
      <c r="F1086" s="431">
        <v>5.45</v>
      </c>
      <c r="G1086" s="431">
        <v>6.13</v>
      </c>
      <c r="H1086" s="431">
        <v>6.1</v>
      </c>
      <c r="I1086" s="431">
        <v>6.13</v>
      </c>
      <c r="J1086" s="431">
        <v>5.61</v>
      </c>
      <c r="K1086" s="431">
        <v>5.64</v>
      </c>
      <c r="L1086" s="431">
        <v>5.46</v>
      </c>
      <c r="M1086" s="431">
        <v>4.88</v>
      </c>
      <c r="N1086" s="431">
        <v>4.8899999999999997</v>
      </c>
      <c r="O1086" s="431">
        <v>4.75</v>
      </c>
      <c r="P1086" s="431">
        <v>4.34</v>
      </c>
      <c r="Q1086" s="179">
        <f t="shared" si="31"/>
        <v>5.3391666666666673</v>
      </c>
      <c r="R1086" s="179" t="s">
        <v>994</v>
      </c>
    </row>
    <row r="1087" spans="1:18" x14ac:dyDescent="0.15">
      <c r="A1087" s="179" t="str">
        <f t="shared" si="30"/>
        <v>Los Reyes_Flat Surface_202.5</v>
      </c>
      <c r="B1087" s="501" t="s">
        <v>1149</v>
      </c>
      <c r="C1087" s="429">
        <v>0</v>
      </c>
      <c r="D1087" s="429">
        <v>202.5</v>
      </c>
      <c r="E1087" s="431">
        <v>4.6900000000000004</v>
      </c>
      <c r="F1087" s="431">
        <v>5.45</v>
      </c>
      <c r="G1087" s="431">
        <v>6.13</v>
      </c>
      <c r="H1087" s="431">
        <v>6.1</v>
      </c>
      <c r="I1087" s="431">
        <v>6.13</v>
      </c>
      <c r="J1087" s="431">
        <v>5.61</v>
      </c>
      <c r="K1087" s="431">
        <v>5.64</v>
      </c>
      <c r="L1087" s="431">
        <v>5.46</v>
      </c>
      <c r="M1087" s="431">
        <v>4.88</v>
      </c>
      <c r="N1087" s="431">
        <v>4.8899999999999997</v>
      </c>
      <c r="O1087" s="431">
        <v>4.75</v>
      </c>
      <c r="P1087" s="431">
        <v>4.34</v>
      </c>
      <c r="Q1087" s="179">
        <f t="shared" si="31"/>
        <v>5.3391666666666673</v>
      </c>
      <c r="R1087" s="179" t="s">
        <v>994</v>
      </c>
    </row>
    <row r="1088" spans="1:18" x14ac:dyDescent="0.15">
      <c r="A1088" s="179" t="str">
        <f t="shared" si="30"/>
        <v>Los Reyes_Flat Surface_225</v>
      </c>
      <c r="B1088" s="501" t="s">
        <v>1149</v>
      </c>
      <c r="C1088" s="429">
        <v>0</v>
      </c>
      <c r="D1088" s="429">
        <v>225</v>
      </c>
      <c r="E1088" s="431">
        <v>4.6900000000000004</v>
      </c>
      <c r="F1088" s="431">
        <v>5.45</v>
      </c>
      <c r="G1088" s="431">
        <v>6.13</v>
      </c>
      <c r="H1088" s="431">
        <v>6.1</v>
      </c>
      <c r="I1088" s="431">
        <v>6.13</v>
      </c>
      <c r="J1088" s="431">
        <v>5.61</v>
      </c>
      <c r="K1088" s="431">
        <v>5.64</v>
      </c>
      <c r="L1088" s="431">
        <v>5.46</v>
      </c>
      <c r="M1088" s="431">
        <v>4.88</v>
      </c>
      <c r="N1088" s="431">
        <v>4.8899999999999997</v>
      </c>
      <c r="O1088" s="431">
        <v>4.75</v>
      </c>
      <c r="P1088" s="431">
        <v>4.34</v>
      </c>
      <c r="Q1088" s="179">
        <f t="shared" si="31"/>
        <v>5.3391666666666673</v>
      </c>
      <c r="R1088" s="179" t="s">
        <v>994</v>
      </c>
    </row>
    <row r="1089" spans="1:18" x14ac:dyDescent="0.15">
      <c r="A1089" s="179" t="str">
        <f t="shared" si="30"/>
        <v>Los Reyes_Flat Surface_247.5</v>
      </c>
      <c r="B1089" s="501" t="s">
        <v>1149</v>
      </c>
      <c r="C1089" s="429">
        <v>0</v>
      </c>
      <c r="D1089" s="429">
        <v>247.5</v>
      </c>
      <c r="E1089" s="431">
        <v>4.6900000000000004</v>
      </c>
      <c r="F1089" s="431">
        <v>5.45</v>
      </c>
      <c r="G1089" s="431">
        <v>6.13</v>
      </c>
      <c r="H1089" s="431">
        <v>6.1</v>
      </c>
      <c r="I1089" s="431">
        <v>6.13</v>
      </c>
      <c r="J1089" s="431">
        <v>5.61</v>
      </c>
      <c r="K1089" s="431">
        <v>5.64</v>
      </c>
      <c r="L1089" s="431">
        <v>5.46</v>
      </c>
      <c r="M1089" s="431">
        <v>4.88</v>
      </c>
      <c r="N1089" s="431">
        <v>4.8899999999999997</v>
      </c>
      <c r="O1089" s="431">
        <v>4.75</v>
      </c>
      <c r="P1089" s="431">
        <v>4.34</v>
      </c>
      <c r="Q1089" s="179">
        <f t="shared" si="31"/>
        <v>5.3391666666666673</v>
      </c>
      <c r="R1089" s="179" t="s">
        <v>994</v>
      </c>
    </row>
    <row r="1090" spans="1:18" x14ac:dyDescent="0.15">
      <c r="A1090" s="179" t="str">
        <f t="shared" ref="A1090:A1153" si="32">B1090&amp;"_"&amp;R1090&amp;"_"&amp;D1090</f>
        <v>Los Reyes_Flat Surface_270</v>
      </c>
      <c r="B1090" s="501" t="s">
        <v>1149</v>
      </c>
      <c r="C1090" s="429">
        <v>0</v>
      </c>
      <c r="D1090" s="429">
        <v>270</v>
      </c>
      <c r="E1090" s="431">
        <v>4.6900000000000004</v>
      </c>
      <c r="F1090" s="431">
        <v>5.45</v>
      </c>
      <c r="G1090" s="431">
        <v>6.13</v>
      </c>
      <c r="H1090" s="431">
        <v>6.1</v>
      </c>
      <c r="I1090" s="431">
        <v>6.13</v>
      </c>
      <c r="J1090" s="431">
        <v>5.61</v>
      </c>
      <c r="K1090" s="431">
        <v>5.64</v>
      </c>
      <c r="L1090" s="431">
        <v>5.46</v>
      </c>
      <c r="M1090" s="431">
        <v>4.88</v>
      </c>
      <c r="N1090" s="431">
        <v>4.8899999999999997</v>
      </c>
      <c r="O1090" s="431">
        <v>4.75</v>
      </c>
      <c r="P1090" s="431">
        <v>4.34</v>
      </c>
      <c r="Q1090" s="179">
        <f t="shared" ref="Q1090:Q1153" si="33">AVERAGE(E1090:P1090)</f>
        <v>5.3391666666666673</v>
      </c>
      <c r="R1090" s="179" t="s">
        <v>994</v>
      </c>
    </row>
    <row r="1091" spans="1:18" x14ac:dyDescent="0.15">
      <c r="A1091" s="179" t="str">
        <f t="shared" si="32"/>
        <v>Los Reyes_Optimal Summer_90</v>
      </c>
      <c r="B1091" s="501" t="s">
        <v>1149</v>
      </c>
      <c r="C1091" s="429">
        <v>4</v>
      </c>
      <c r="D1091" s="429">
        <v>90</v>
      </c>
      <c r="E1091" s="431">
        <v>3.95</v>
      </c>
      <c r="F1091" s="431">
        <v>4.53</v>
      </c>
      <c r="G1091" s="431">
        <v>5</v>
      </c>
      <c r="H1091" s="431">
        <v>4.9000000000000004</v>
      </c>
      <c r="I1091" s="431">
        <v>4.8600000000000003</v>
      </c>
      <c r="J1091" s="431">
        <v>4.5199999999999996</v>
      </c>
      <c r="K1091" s="431">
        <v>4.54</v>
      </c>
      <c r="L1091" s="431">
        <v>4.3600000000000003</v>
      </c>
      <c r="M1091" s="431">
        <v>3.94</v>
      </c>
      <c r="N1091" s="431">
        <v>4.0199999999999996</v>
      </c>
      <c r="O1091" s="431">
        <v>3.98</v>
      </c>
      <c r="P1091" s="431">
        <v>3.66</v>
      </c>
      <c r="Q1091" s="179">
        <f t="shared" si="33"/>
        <v>4.3550000000000004</v>
      </c>
      <c r="R1091" s="179" t="s">
        <v>958</v>
      </c>
    </row>
    <row r="1092" spans="1:18" x14ac:dyDescent="0.15">
      <c r="A1092" s="179" t="str">
        <f t="shared" si="32"/>
        <v>Los Reyes_Optimal Summer_112.5</v>
      </c>
      <c r="B1092" s="501" t="s">
        <v>1149</v>
      </c>
      <c r="C1092" s="429">
        <v>4</v>
      </c>
      <c r="D1092" s="429">
        <v>112.5</v>
      </c>
      <c r="E1092" s="431">
        <v>4.32</v>
      </c>
      <c r="F1092" s="431">
        <v>4.95</v>
      </c>
      <c r="G1092" s="431">
        <v>5.47</v>
      </c>
      <c r="H1092" s="431">
        <v>5.36</v>
      </c>
      <c r="I1092" s="431">
        <v>5.32</v>
      </c>
      <c r="J1092" s="431">
        <v>4.9400000000000004</v>
      </c>
      <c r="K1092" s="431">
        <v>4.96</v>
      </c>
      <c r="L1092" s="431">
        <v>4.7699999999999996</v>
      </c>
      <c r="M1092" s="431">
        <v>4.3099999999999996</v>
      </c>
      <c r="N1092" s="431">
        <v>4.3899999999999997</v>
      </c>
      <c r="O1092" s="431">
        <v>4.3600000000000003</v>
      </c>
      <c r="P1092" s="431">
        <v>4</v>
      </c>
      <c r="Q1092" s="179">
        <f t="shared" si="33"/>
        <v>4.7625000000000002</v>
      </c>
      <c r="R1092" s="179" t="s">
        <v>958</v>
      </c>
    </row>
    <row r="1093" spans="1:18" x14ac:dyDescent="0.15">
      <c r="A1093" s="179" t="str">
        <f t="shared" si="32"/>
        <v>Los Reyes_Optimal Summer_135</v>
      </c>
      <c r="B1093" s="501" t="s">
        <v>1149</v>
      </c>
      <c r="C1093" s="429">
        <v>4</v>
      </c>
      <c r="D1093" s="429">
        <v>135</v>
      </c>
      <c r="E1093" s="431">
        <v>4.6900000000000004</v>
      </c>
      <c r="F1093" s="431">
        <v>5.38</v>
      </c>
      <c r="G1093" s="431">
        <v>5.94</v>
      </c>
      <c r="H1093" s="431">
        <v>5.81</v>
      </c>
      <c r="I1093" s="431">
        <v>5.78</v>
      </c>
      <c r="J1093" s="431">
        <v>5.37</v>
      </c>
      <c r="K1093" s="431">
        <v>5.39</v>
      </c>
      <c r="L1093" s="431">
        <v>5.18</v>
      </c>
      <c r="M1093" s="431">
        <v>4.68</v>
      </c>
      <c r="N1093" s="431">
        <v>4.7699999999999996</v>
      </c>
      <c r="O1093" s="431">
        <v>4.7300000000000004</v>
      </c>
      <c r="P1093" s="431">
        <v>4.34</v>
      </c>
      <c r="Q1093" s="179">
        <f t="shared" si="33"/>
        <v>5.1716666666666669</v>
      </c>
      <c r="R1093" s="179" t="s">
        <v>958</v>
      </c>
    </row>
    <row r="1094" spans="1:18" x14ac:dyDescent="0.15">
      <c r="A1094" s="179" t="str">
        <f t="shared" si="32"/>
        <v>Los Reyes_Optimal Summer_157.5</v>
      </c>
      <c r="B1094" s="501" t="s">
        <v>1149</v>
      </c>
      <c r="C1094" s="429">
        <v>4</v>
      </c>
      <c r="D1094" s="429">
        <v>157.5</v>
      </c>
      <c r="E1094" s="431">
        <v>4.82</v>
      </c>
      <c r="F1094" s="431">
        <v>5.52</v>
      </c>
      <c r="G1094" s="431">
        <v>6.09</v>
      </c>
      <c r="H1094" s="431">
        <v>5.97</v>
      </c>
      <c r="I1094" s="431">
        <v>5.93</v>
      </c>
      <c r="J1094" s="431">
        <v>5.51</v>
      </c>
      <c r="K1094" s="431">
        <v>5.53</v>
      </c>
      <c r="L1094" s="431">
        <v>5.31</v>
      </c>
      <c r="M1094" s="431">
        <v>4.8099999999999996</v>
      </c>
      <c r="N1094" s="431">
        <v>4.8899999999999997</v>
      </c>
      <c r="O1094" s="431">
        <v>4.8600000000000003</v>
      </c>
      <c r="P1094" s="431">
        <v>4.46</v>
      </c>
      <c r="Q1094" s="179">
        <f t="shared" si="33"/>
        <v>5.3083333333333336</v>
      </c>
      <c r="R1094" s="179" t="s">
        <v>958</v>
      </c>
    </row>
    <row r="1095" spans="1:18" x14ac:dyDescent="0.15">
      <c r="A1095" s="179" t="str">
        <f t="shared" si="32"/>
        <v>Los Reyes_Optimal Summer_180</v>
      </c>
      <c r="B1095" s="501" t="s">
        <v>1149</v>
      </c>
      <c r="C1095" s="429">
        <v>4</v>
      </c>
      <c r="D1095" s="429">
        <v>180</v>
      </c>
      <c r="E1095" s="431">
        <v>4.9400000000000004</v>
      </c>
      <c r="F1095" s="431">
        <v>5.66</v>
      </c>
      <c r="G1095" s="431">
        <v>6.25</v>
      </c>
      <c r="H1095" s="431">
        <v>6.12</v>
      </c>
      <c r="I1095" s="431">
        <v>6.08</v>
      </c>
      <c r="J1095" s="431">
        <v>5.65</v>
      </c>
      <c r="K1095" s="431">
        <v>5.67</v>
      </c>
      <c r="L1095" s="431">
        <v>5.45</v>
      </c>
      <c r="M1095" s="431">
        <v>4.93</v>
      </c>
      <c r="N1095" s="431">
        <v>5.0199999999999996</v>
      </c>
      <c r="O1095" s="431">
        <v>4.9800000000000004</v>
      </c>
      <c r="P1095" s="431">
        <v>4.57</v>
      </c>
      <c r="Q1095" s="179">
        <f t="shared" si="33"/>
        <v>5.4433333333333351</v>
      </c>
      <c r="R1095" s="179" t="s">
        <v>958</v>
      </c>
    </row>
    <row r="1096" spans="1:18" x14ac:dyDescent="0.15">
      <c r="A1096" s="179" t="str">
        <f t="shared" si="32"/>
        <v>Los Reyes_Optimal Summer_202.5</v>
      </c>
      <c r="B1096" s="501" t="s">
        <v>1149</v>
      </c>
      <c r="C1096" s="429">
        <v>4</v>
      </c>
      <c r="D1096" s="429">
        <v>202.5</v>
      </c>
      <c r="E1096" s="431">
        <v>4.82</v>
      </c>
      <c r="F1096" s="431">
        <v>5.52</v>
      </c>
      <c r="G1096" s="431">
        <v>6.09</v>
      </c>
      <c r="H1096" s="431">
        <v>5.97</v>
      </c>
      <c r="I1096" s="431">
        <v>5.93</v>
      </c>
      <c r="J1096" s="431">
        <v>5.51</v>
      </c>
      <c r="K1096" s="431">
        <v>5.53</v>
      </c>
      <c r="L1096" s="431">
        <v>5.31</v>
      </c>
      <c r="M1096" s="431">
        <v>4.8099999999999996</v>
      </c>
      <c r="N1096" s="431">
        <v>4.8899999999999997</v>
      </c>
      <c r="O1096" s="431">
        <v>4.8600000000000003</v>
      </c>
      <c r="P1096" s="431">
        <v>4.46</v>
      </c>
      <c r="Q1096" s="179">
        <f t="shared" si="33"/>
        <v>5.3083333333333336</v>
      </c>
      <c r="R1096" s="179" t="s">
        <v>958</v>
      </c>
    </row>
    <row r="1097" spans="1:18" x14ac:dyDescent="0.15">
      <c r="A1097" s="179" t="str">
        <f t="shared" si="32"/>
        <v>Los Reyes_Optimal Summer_225</v>
      </c>
      <c r="B1097" s="501" t="s">
        <v>1149</v>
      </c>
      <c r="C1097" s="429">
        <v>4</v>
      </c>
      <c r="D1097" s="429">
        <v>225</v>
      </c>
      <c r="E1097" s="431">
        <v>4.6900000000000004</v>
      </c>
      <c r="F1097" s="431">
        <v>5.38</v>
      </c>
      <c r="G1097" s="431">
        <v>5.94</v>
      </c>
      <c r="H1097" s="431">
        <v>5.81</v>
      </c>
      <c r="I1097" s="431">
        <v>5.78</v>
      </c>
      <c r="J1097" s="431">
        <v>5.37</v>
      </c>
      <c r="K1097" s="431">
        <v>5.39</v>
      </c>
      <c r="L1097" s="431">
        <v>5.18</v>
      </c>
      <c r="M1097" s="431">
        <v>4.68</v>
      </c>
      <c r="N1097" s="431">
        <v>4.7699999999999996</v>
      </c>
      <c r="O1097" s="431">
        <v>4.7300000000000004</v>
      </c>
      <c r="P1097" s="431">
        <v>4.34</v>
      </c>
      <c r="Q1097" s="179">
        <f t="shared" si="33"/>
        <v>5.1716666666666669</v>
      </c>
      <c r="R1097" s="179" t="s">
        <v>958</v>
      </c>
    </row>
    <row r="1098" spans="1:18" x14ac:dyDescent="0.15">
      <c r="A1098" s="179" t="str">
        <f t="shared" si="32"/>
        <v>Los Reyes_Optimal Summer_247.5</v>
      </c>
      <c r="B1098" s="501" t="s">
        <v>1149</v>
      </c>
      <c r="C1098" s="429">
        <v>4</v>
      </c>
      <c r="D1098" s="429">
        <v>247.5</v>
      </c>
      <c r="E1098" s="431">
        <v>4.32</v>
      </c>
      <c r="F1098" s="431">
        <v>4.95</v>
      </c>
      <c r="G1098" s="431">
        <v>5.47</v>
      </c>
      <c r="H1098" s="431">
        <v>5.36</v>
      </c>
      <c r="I1098" s="431">
        <v>5.32</v>
      </c>
      <c r="J1098" s="431">
        <v>4.9400000000000004</v>
      </c>
      <c r="K1098" s="431">
        <v>4.96</v>
      </c>
      <c r="L1098" s="431">
        <v>4.7699999999999996</v>
      </c>
      <c r="M1098" s="431">
        <v>4.3099999999999996</v>
      </c>
      <c r="N1098" s="431">
        <v>4.3899999999999997</v>
      </c>
      <c r="O1098" s="431">
        <v>4.3600000000000003</v>
      </c>
      <c r="P1098" s="431">
        <v>4</v>
      </c>
      <c r="Q1098" s="179">
        <f t="shared" si="33"/>
        <v>4.7625000000000002</v>
      </c>
      <c r="R1098" s="179" t="s">
        <v>958</v>
      </c>
    </row>
    <row r="1099" spans="1:18" x14ac:dyDescent="0.15">
      <c r="A1099" s="179" t="str">
        <f t="shared" si="32"/>
        <v>Los Reyes_Optimal Summer_270</v>
      </c>
      <c r="B1099" s="501" t="s">
        <v>1149</v>
      </c>
      <c r="C1099" s="429">
        <v>4</v>
      </c>
      <c r="D1099" s="429">
        <v>270</v>
      </c>
      <c r="E1099" s="431">
        <v>3.95</v>
      </c>
      <c r="F1099" s="431">
        <v>4.53</v>
      </c>
      <c r="G1099" s="431">
        <v>5</v>
      </c>
      <c r="H1099" s="431">
        <v>4.9000000000000004</v>
      </c>
      <c r="I1099" s="431">
        <v>4.8600000000000003</v>
      </c>
      <c r="J1099" s="431">
        <v>4.5199999999999996</v>
      </c>
      <c r="K1099" s="431">
        <v>4.54</v>
      </c>
      <c r="L1099" s="431">
        <v>4.3600000000000003</v>
      </c>
      <c r="M1099" s="431">
        <v>3.94</v>
      </c>
      <c r="N1099" s="431">
        <v>4.0199999999999996</v>
      </c>
      <c r="O1099" s="431">
        <v>3.98</v>
      </c>
      <c r="P1099" s="431">
        <v>3.66</v>
      </c>
      <c r="Q1099" s="179">
        <f t="shared" si="33"/>
        <v>4.3550000000000004</v>
      </c>
      <c r="R1099" s="179" t="s">
        <v>958</v>
      </c>
    </row>
    <row r="1100" spans="1:18" x14ac:dyDescent="0.15">
      <c r="A1100" s="179" t="str">
        <f t="shared" si="32"/>
        <v>Los Reyes_Optimal Year Round_90</v>
      </c>
      <c r="B1100" s="501" t="s">
        <v>1149</v>
      </c>
      <c r="C1100" s="429">
        <v>19</v>
      </c>
      <c r="D1100" s="429">
        <v>90</v>
      </c>
      <c r="E1100" s="431">
        <v>4.5599999999999996</v>
      </c>
      <c r="F1100" s="431">
        <v>4.9800000000000004</v>
      </c>
      <c r="G1100" s="431">
        <v>5.18</v>
      </c>
      <c r="H1100" s="431">
        <v>4.8099999999999996</v>
      </c>
      <c r="I1100" s="431">
        <v>4.58</v>
      </c>
      <c r="J1100" s="431">
        <v>4.5</v>
      </c>
      <c r="K1100" s="431">
        <v>4.5</v>
      </c>
      <c r="L1100" s="431">
        <v>4.22</v>
      </c>
      <c r="M1100" s="431">
        <v>3.98</v>
      </c>
      <c r="N1100" s="431">
        <v>4.28</v>
      </c>
      <c r="O1100" s="431">
        <v>4.5199999999999996</v>
      </c>
      <c r="P1100" s="431">
        <v>4.2300000000000004</v>
      </c>
      <c r="Q1100" s="179">
        <f t="shared" si="33"/>
        <v>4.5283333333333333</v>
      </c>
      <c r="R1100" s="179" t="s">
        <v>993</v>
      </c>
    </row>
    <row r="1101" spans="1:18" x14ac:dyDescent="0.15">
      <c r="A1101" s="179" t="str">
        <f t="shared" si="32"/>
        <v>Los Reyes_Optimal Year Round_112.5</v>
      </c>
      <c r="B1101" s="501" t="s">
        <v>1149</v>
      </c>
      <c r="C1101" s="429">
        <v>19</v>
      </c>
      <c r="D1101" s="429">
        <v>112.5</v>
      </c>
      <c r="E1101" s="431">
        <v>4.99</v>
      </c>
      <c r="F1101" s="431">
        <v>5.44</v>
      </c>
      <c r="G1101" s="431">
        <v>5.67</v>
      </c>
      <c r="H1101" s="431">
        <v>5.26</v>
      </c>
      <c r="I1101" s="431">
        <v>5</v>
      </c>
      <c r="J1101" s="431">
        <v>4.93</v>
      </c>
      <c r="K1101" s="431">
        <v>4.92</v>
      </c>
      <c r="L1101" s="431">
        <v>4.62</v>
      </c>
      <c r="M1101" s="431">
        <v>4.3499999999999996</v>
      </c>
      <c r="N1101" s="431">
        <v>4.68</v>
      </c>
      <c r="O1101" s="431">
        <v>4.9400000000000004</v>
      </c>
      <c r="P1101" s="431">
        <v>4.63</v>
      </c>
      <c r="Q1101" s="179">
        <f t="shared" si="33"/>
        <v>4.9524999999999997</v>
      </c>
      <c r="R1101" s="179" t="s">
        <v>993</v>
      </c>
    </row>
    <row r="1102" spans="1:18" x14ac:dyDescent="0.15">
      <c r="A1102" s="179" t="str">
        <f t="shared" si="32"/>
        <v>Los Reyes_Optimal Year Round_135</v>
      </c>
      <c r="B1102" s="501" t="s">
        <v>1149</v>
      </c>
      <c r="C1102" s="429">
        <v>19</v>
      </c>
      <c r="D1102" s="429">
        <v>135</v>
      </c>
      <c r="E1102" s="431">
        <v>5.42</v>
      </c>
      <c r="F1102" s="431">
        <v>5.91</v>
      </c>
      <c r="G1102" s="431">
        <v>6.16</v>
      </c>
      <c r="H1102" s="431">
        <v>5.71</v>
      </c>
      <c r="I1102" s="431">
        <v>5.43</v>
      </c>
      <c r="J1102" s="431">
        <v>5.35</v>
      </c>
      <c r="K1102" s="431">
        <v>5.34</v>
      </c>
      <c r="L1102" s="431">
        <v>5.0199999999999996</v>
      </c>
      <c r="M1102" s="431">
        <v>4.72</v>
      </c>
      <c r="N1102" s="431">
        <v>5.08</v>
      </c>
      <c r="O1102" s="431">
        <v>5.37</v>
      </c>
      <c r="P1102" s="431">
        <v>5.03</v>
      </c>
      <c r="Q1102" s="179">
        <f t="shared" si="33"/>
        <v>5.378333333333333</v>
      </c>
      <c r="R1102" s="179" t="s">
        <v>993</v>
      </c>
    </row>
    <row r="1103" spans="1:18" x14ac:dyDescent="0.15">
      <c r="A1103" s="179" t="str">
        <f t="shared" si="32"/>
        <v>Los Reyes_Optimal Year Round_157.5</v>
      </c>
      <c r="B1103" s="501" t="s">
        <v>1149</v>
      </c>
      <c r="C1103" s="429">
        <v>19</v>
      </c>
      <c r="D1103" s="429">
        <v>157.5</v>
      </c>
      <c r="E1103" s="431">
        <v>5.56</v>
      </c>
      <c r="F1103" s="431">
        <v>6.06</v>
      </c>
      <c r="G1103" s="431">
        <v>6.32</v>
      </c>
      <c r="H1103" s="431">
        <v>5.86</v>
      </c>
      <c r="I1103" s="431">
        <v>5.58</v>
      </c>
      <c r="J1103" s="431">
        <v>5.49</v>
      </c>
      <c r="K1103" s="431">
        <v>5.48</v>
      </c>
      <c r="L1103" s="431">
        <v>5.15</v>
      </c>
      <c r="M1103" s="431">
        <v>4.8499999999999996</v>
      </c>
      <c r="N1103" s="431">
        <v>5.22</v>
      </c>
      <c r="O1103" s="431">
        <v>5.51</v>
      </c>
      <c r="P1103" s="431">
        <v>5.16</v>
      </c>
      <c r="Q1103" s="179">
        <f t="shared" si="33"/>
        <v>5.52</v>
      </c>
      <c r="R1103" s="179" t="s">
        <v>993</v>
      </c>
    </row>
    <row r="1104" spans="1:18" x14ac:dyDescent="0.15">
      <c r="A1104" s="179" t="str">
        <f t="shared" si="32"/>
        <v>Los Reyes_Optimal Year Round_180</v>
      </c>
      <c r="B1104" s="501" t="s">
        <v>1149</v>
      </c>
      <c r="C1104" s="429">
        <v>19</v>
      </c>
      <c r="D1104" s="429">
        <v>180</v>
      </c>
      <c r="E1104" s="431">
        <v>5.7</v>
      </c>
      <c r="F1104" s="431">
        <v>6.22</v>
      </c>
      <c r="G1104" s="431">
        <v>6.48</v>
      </c>
      <c r="H1104" s="431">
        <v>6.01</v>
      </c>
      <c r="I1104" s="431">
        <v>5.72</v>
      </c>
      <c r="J1104" s="431">
        <v>5.63</v>
      </c>
      <c r="K1104" s="431">
        <v>5.62</v>
      </c>
      <c r="L1104" s="431">
        <v>5.28</v>
      </c>
      <c r="M1104" s="431">
        <v>4.97</v>
      </c>
      <c r="N1104" s="431">
        <v>5.35</v>
      </c>
      <c r="O1104" s="431">
        <v>5.65</v>
      </c>
      <c r="P1104" s="431">
        <v>5.29</v>
      </c>
      <c r="Q1104" s="179">
        <f t="shared" si="33"/>
        <v>5.66</v>
      </c>
      <c r="R1104" s="179" t="s">
        <v>993</v>
      </c>
    </row>
    <row r="1105" spans="1:18" x14ac:dyDescent="0.15">
      <c r="A1105" s="179" t="str">
        <f t="shared" si="32"/>
        <v>Los Reyes_Optimal Year Round_202.5</v>
      </c>
      <c r="B1105" s="501" t="s">
        <v>1149</v>
      </c>
      <c r="C1105" s="429">
        <v>19</v>
      </c>
      <c r="D1105" s="429">
        <v>202.5</v>
      </c>
      <c r="E1105" s="431">
        <v>5.56</v>
      </c>
      <c r="F1105" s="431">
        <v>6.06</v>
      </c>
      <c r="G1105" s="431">
        <v>6.32</v>
      </c>
      <c r="H1105" s="431">
        <v>5.86</v>
      </c>
      <c r="I1105" s="431">
        <v>5.58</v>
      </c>
      <c r="J1105" s="431">
        <v>5.49</v>
      </c>
      <c r="K1105" s="431">
        <v>5.48</v>
      </c>
      <c r="L1105" s="431">
        <v>5.15</v>
      </c>
      <c r="M1105" s="431">
        <v>4.8499999999999996</v>
      </c>
      <c r="N1105" s="431">
        <v>5.22</v>
      </c>
      <c r="O1105" s="431">
        <v>5.51</v>
      </c>
      <c r="P1105" s="431">
        <v>5.16</v>
      </c>
      <c r="Q1105" s="179">
        <f t="shared" si="33"/>
        <v>5.52</v>
      </c>
      <c r="R1105" s="179" t="s">
        <v>993</v>
      </c>
    </row>
    <row r="1106" spans="1:18" x14ac:dyDescent="0.15">
      <c r="A1106" s="179" t="str">
        <f t="shared" si="32"/>
        <v>Los Reyes_Optimal Year Round_225</v>
      </c>
      <c r="B1106" s="501" t="s">
        <v>1149</v>
      </c>
      <c r="C1106" s="429">
        <v>19</v>
      </c>
      <c r="D1106" s="429">
        <v>225</v>
      </c>
      <c r="E1106" s="431">
        <v>5.42</v>
      </c>
      <c r="F1106" s="431">
        <v>5.91</v>
      </c>
      <c r="G1106" s="431">
        <v>6.16</v>
      </c>
      <c r="H1106" s="431">
        <v>5.71</v>
      </c>
      <c r="I1106" s="431">
        <v>5.43</v>
      </c>
      <c r="J1106" s="431">
        <v>5.35</v>
      </c>
      <c r="K1106" s="431">
        <v>5.34</v>
      </c>
      <c r="L1106" s="431">
        <v>5.0199999999999996</v>
      </c>
      <c r="M1106" s="431">
        <v>4.72</v>
      </c>
      <c r="N1106" s="431">
        <v>5.08</v>
      </c>
      <c r="O1106" s="431">
        <v>5.37</v>
      </c>
      <c r="P1106" s="431">
        <v>5.03</v>
      </c>
      <c r="Q1106" s="179">
        <f t="shared" si="33"/>
        <v>5.378333333333333</v>
      </c>
      <c r="R1106" s="179" t="s">
        <v>993</v>
      </c>
    </row>
    <row r="1107" spans="1:18" x14ac:dyDescent="0.15">
      <c r="A1107" s="179" t="str">
        <f t="shared" si="32"/>
        <v>Los Reyes_Optimal Year Round_247.5</v>
      </c>
      <c r="B1107" s="501" t="s">
        <v>1149</v>
      </c>
      <c r="C1107" s="429">
        <v>19</v>
      </c>
      <c r="D1107" s="429">
        <v>247.5</v>
      </c>
      <c r="E1107" s="431">
        <v>4.99</v>
      </c>
      <c r="F1107" s="431">
        <v>5.44</v>
      </c>
      <c r="G1107" s="431">
        <v>5.67</v>
      </c>
      <c r="H1107" s="431">
        <v>5.26</v>
      </c>
      <c r="I1107" s="431">
        <v>5</v>
      </c>
      <c r="J1107" s="431">
        <v>4.93</v>
      </c>
      <c r="K1107" s="431">
        <v>4.92</v>
      </c>
      <c r="L1107" s="431">
        <v>4.62</v>
      </c>
      <c r="M1107" s="431">
        <v>4.3499999999999996</v>
      </c>
      <c r="N1107" s="431">
        <v>4.68</v>
      </c>
      <c r="O1107" s="431">
        <v>4.9400000000000004</v>
      </c>
      <c r="P1107" s="431">
        <v>4.63</v>
      </c>
      <c r="Q1107" s="179">
        <f t="shared" si="33"/>
        <v>4.9524999999999997</v>
      </c>
      <c r="R1107" s="179" t="s">
        <v>993</v>
      </c>
    </row>
    <row r="1108" spans="1:18" x14ac:dyDescent="0.15">
      <c r="A1108" s="179" t="str">
        <f t="shared" si="32"/>
        <v>Los Reyes_Optimal Year Round_270</v>
      </c>
      <c r="B1108" s="501" t="s">
        <v>1149</v>
      </c>
      <c r="C1108" s="429">
        <v>19</v>
      </c>
      <c r="D1108" s="429">
        <v>270</v>
      </c>
      <c r="E1108" s="431">
        <v>4.5599999999999996</v>
      </c>
      <c r="F1108" s="431">
        <v>4.9800000000000004</v>
      </c>
      <c r="G1108" s="431">
        <v>5.18</v>
      </c>
      <c r="H1108" s="431">
        <v>4.8099999999999996</v>
      </c>
      <c r="I1108" s="431">
        <v>4.58</v>
      </c>
      <c r="J1108" s="431">
        <v>4.5</v>
      </c>
      <c r="K1108" s="431">
        <v>4.5</v>
      </c>
      <c r="L1108" s="431">
        <v>4.22</v>
      </c>
      <c r="M1108" s="431">
        <v>3.98</v>
      </c>
      <c r="N1108" s="431">
        <v>4.28</v>
      </c>
      <c r="O1108" s="431">
        <v>4.5199999999999996</v>
      </c>
      <c r="P1108" s="431">
        <v>4.2300000000000004</v>
      </c>
      <c r="Q1108" s="179">
        <f t="shared" si="33"/>
        <v>4.5283333333333333</v>
      </c>
      <c r="R1108" s="179" t="s">
        <v>993</v>
      </c>
    </row>
    <row r="1109" spans="1:18" x14ac:dyDescent="0.15">
      <c r="A1109" s="179" t="str">
        <f t="shared" si="32"/>
        <v>Magdalena Contreras_Flat Surface_90</v>
      </c>
      <c r="B1109" s="501" t="s">
        <v>1150</v>
      </c>
      <c r="C1109" s="429">
        <v>0</v>
      </c>
      <c r="D1109" s="429">
        <v>90</v>
      </c>
      <c r="E1109" s="431">
        <v>4.74</v>
      </c>
      <c r="F1109" s="431">
        <v>5.68</v>
      </c>
      <c r="G1109" s="431">
        <v>6.47</v>
      </c>
      <c r="H1109" s="431">
        <v>6.38</v>
      </c>
      <c r="I1109" s="431">
        <v>6.21</v>
      </c>
      <c r="J1109" s="431">
        <v>5.57</v>
      </c>
      <c r="K1109" s="431">
        <v>5.48</v>
      </c>
      <c r="L1109" s="431">
        <v>5.31</v>
      </c>
      <c r="M1109" s="431">
        <v>4.88</v>
      </c>
      <c r="N1109" s="431">
        <v>4.87</v>
      </c>
      <c r="O1109" s="431">
        <v>4.7699999999999996</v>
      </c>
      <c r="P1109" s="431">
        <v>4.34</v>
      </c>
      <c r="Q1109" s="179">
        <f t="shared" si="33"/>
        <v>5.3916666666666666</v>
      </c>
      <c r="R1109" s="179" t="s">
        <v>994</v>
      </c>
    </row>
    <row r="1110" spans="1:18" x14ac:dyDescent="0.15">
      <c r="A1110" s="179" t="str">
        <f t="shared" si="32"/>
        <v>Magdalena Contreras_Flat Surface_112.5</v>
      </c>
      <c r="B1110" s="501" t="s">
        <v>1150</v>
      </c>
      <c r="C1110" s="429">
        <v>0</v>
      </c>
      <c r="D1110" s="429">
        <v>112.5</v>
      </c>
      <c r="E1110" s="431">
        <v>4.74</v>
      </c>
      <c r="F1110" s="431">
        <v>5.68</v>
      </c>
      <c r="G1110" s="431">
        <v>6.47</v>
      </c>
      <c r="H1110" s="431">
        <v>6.38</v>
      </c>
      <c r="I1110" s="431">
        <v>6.21</v>
      </c>
      <c r="J1110" s="431">
        <v>5.57</v>
      </c>
      <c r="K1110" s="431">
        <v>5.48</v>
      </c>
      <c r="L1110" s="431">
        <v>5.31</v>
      </c>
      <c r="M1110" s="431">
        <v>4.88</v>
      </c>
      <c r="N1110" s="431">
        <v>4.87</v>
      </c>
      <c r="O1110" s="431">
        <v>4.7699999999999996</v>
      </c>
      <c r="P1110" s="431">
        <v>4.34</v>
      </c>
      <c r="Q1110" s="179">
        <f t="shared" si="33"/>
        <v>5.3916666666666666</v>
      </c>
      <c r="R1110" s="179" t="s">
        <v>994</v>
      </c>
    </row>
    <row r="1111" spans="1:18" x14ac:dyDescent="0.15">
      <c r="A1111" s="179" t="str">
        <f t="shared" si="32"/>
        <v>Magdalena Contreras_Flat Surface_135</v>
      </c>
      <c r="B1111" s="501" t="s">
        <v>1150</v>
      </c>
      <c r="C1111" s="429">
        <v>0</v>
      </c>
      <c r="D1111" s="429">
        <v>135</v>
      </c>
      <c r="E1111" s="431">
        <v>4.74</v>
      </c>
      <c r="F1111" s="431">
        <v>5.68</v>
      </c>
      <c r="G1111" s="431">
        <v>6.47</v>
      </c>
      <c r="H1111" s="431">
        <v>6.38</v>
      </c>
      <c r="I1111" s="431">
        <v>6.21</v>
      </c>
      <c r="J1111" s="431">
        <v>5.57</v>
      </c>
      <c r="K1111" s="431">
        <v>5.48</v>
      </c>
      <c r="L1111" s="431">
        <v>5.31</v>
      </c>
      <c r="M1111" s="431">
        <v>4.88</v>
      </c>
      <c r="N1111" s="431">
        <v>4.87</v>
      </c>
      <c r="O1111" s="431">
        <v>4.7699999999999996</v>
      </c>
      <c r="P1111" s="431">
        <v>4.34</v>
      </c>
      <c r="Q1111" s="179">
        <f t="shared" si="33"/>
        <v>5.3916666666666666</v>
      </c>
      <c r="R1111" s="179" t="s">
        <v>994</v>
      </c>
    </row>
    <row r="1112" spans="1:18" x14ac:dyDescent="0.15">
      <c r="A1112" s="179" t="str">
        <f t="shared" si="32"/>
        <v>Magdalena Contreras_Flat Surface_157.5</v>
      </c>
      <c r="B1112" s="501" t="s">
        <v>1150</v>
      </c>
      <c r="C1112" s="429">
        <v>0</v>
      </c>
      <c r="D1112" s="429">
        <v>157.5</v>
      </c>
      <c r="E1112" s="431">
        <v>4.74</v>
      </c>
      <c r="F1112" s="431">
        <v>5.68</v>
      </c>
      <c r="G1112" s="431">
        <v>6.47</v>
      </c>
      <c r="H1112" s="431">
        <v>6.38</v>
      </c>
      <c r="I1112" s="431">
        <v>6.21</v>
      </c>
      <c r="J1112" s="431">
        <v>5.57</v>
      </c>
      <c r="K1112" s="431">
        <v>5.48</v>
      </c>
      <c r="L1112" s="431">
        <v>5.31</v>
      </c>
      <c r="M1112" s="431">
        <v>4.88</v>
      </c>
      <c r="N1112" s="431">
        <v>4.87</v>
      </c>
      <c r="O1112" s="431">
        <v>4.7699999999999996</v>
      </c>
      <c r="P1112" s="431">
        <v>4.34</v>
      </c>
      <c r="Q1112" s="179">
        <f t="shared" si="33"/>
        <v>5.3916666666666666</v>
      </c>
      <c r="R1112" s="179" t="s">
        <v>994</v>
      </c>
    </row>
    <row r="1113" spans="1:18" x14ac:dyDescent="0.15">
      <c r="A1113" s="179" t="str">
        <f t="shared" si="32"/>
        <v>Magdalena Contreras_Flat Surface_180</v>
      </c>
      <c r="B1113" s="501" t="s">
        <v>1150</v>
      </c>
      <c r="C1113" s="429">
        <v>0</v>
      </c>
      <c r="D1113" s="429">
        <v>180</v>
      </c>
      <c r="E1113" s="431">
        <v>4.74</v>
      </c>
      <c r="F1113" s="431">
        <v>5.68</v>
      </c>
      <c r="G1113" s="431">
        <v>6.47</v>
      </c>
      <c r="H1113" s="431">
        <v>6.38</v>
      </c>
      <c r="I1113" s="431">
        <v>6.21</v>
      </c>
      <c r="J1113" s="431">
        <v>5.57</v>
      </c>
      <c r="K1113" s="431">
        <v>5.48</v>
      </c>
      <c r="L1113" s="431">
        <v>5.31</v>
      </c>
      <c r="M1113" s="431">
        <v>4.88</v>
      </c>
      <c r="N1113" s="431">
        <v>4.87</v>
      </c>
      <c r="O1113" s="431">
        <v>4.7699999999999996</v>
      </c>
      <c r="P1113" s="431">
        <v>4.34</v>
      </c>
      <c r="Q1113" s="179">
        <f t="shared" si="33"/>
        <v>5.3916666666666666</v>
      </c>
      <c r="R1113" s="179" t="s">
        <v>994</v>
      </c>
    </row>
    <row r="1114" spans="1:18" x14ac:dyDescent="0.15">
      <c r="A1114" s="179" t="str">
        <f t="shared" si="32"/>
        <v>Magdalena Contreras_Flat Surface_202.5</v>
      </c>
      <c r="B1114" s="501" t="s">
        <v>1150</v>
      </c>
      <c r="C1114" s="429">
        <v>0</v>
      </c>
      <c r="D1114" s="429">
        <v>202.5</v>
      </c>
      <c r="E1114" s="431">
        <v>4.74</v>
      </c>
      <c r="F1114" s="431">
        <v>5.68</v>
      </c>
      <c r="G1114" s="431">
        <v>6.47</v>
      </c>
      <c r="H1114" s="431">
        <v>6.38</v>
      </c>
      <c r="I1114" s="431">
        <v>6.21</v>
      </c>
      <c r="J1114" s="431">
        <v>5.57</v>
      </c>
      <c r="K1114" s="431">
        <v>5.48</v>
      </c>
      <c r="L1114" s="431">
        <v>5.31</v>
      </c>
      <c r="M1114" s="431">
        <v>4.88</v>
      </c>
      <c r="N1114" s="431">
        <v>4.87</v>
      </c>
      <c r="O1114" s="431">
        <v>4.7699999999999996</v>
      </c>
      <c r="P1114" s="431">
        <v>4.34</v>
      </c>
      <c r="Q1114" s="179">
        <f t="shared" si="33"/>
        <v>5.3916666666666666</v>
      </c>
      <c r="R1114" s="179" t="s">
        <v>994</v>
      </c>
    </row>
    <row r="1115" spans="1:18" x14ac:dyDescent="0.15">
      <c r="A1115" s="179" t="str">
        <f t="shared" si="32"/>
        <v>Magdalena Contreras_Flat Surface_225</v>
      </c>
      <c r="B1115" s="501" t="s">
        <v>1150</v>
      </c>
      <c r="C1115" s="429">
        <v>0</v>
      </c>
      <c r="D1115" s="429">
        <v>225</v>
      </c>
      <c r="E1115" s="431">
        <v>4.74</v>
      </c>
      <c r="F1115" s="431">
        <v>5.68</v>
      </c>
      <c r="G1115" s="431">
        <v>6.47</v>
      </c>
      <c r="H1115" s="431">
        <v>6.38</v>
      </c>
      <c r="I1115" s="431">
        <v>6.21</v>
      </c>
      <c r="J1115" s="431">
        <v>5.57</v>
      </c>
      <c r="K1115" s="431">
        <v>5.48</v>
      </c>
      <c r="L1115" s="431">
        <v>5.31</v>
      </c>
      <c r="M1115" s="431">
        <v>4.88</v>
      </c>
      <c r="N1115" s="431">
        <v>4.87</v>
      </c>
      <c r="O1115" s="431">
        <v>4.7699999999999996</v>
      </c>
      <c r="P1115" s="431">
        <v>4.34</v>
      </c>
      <c r="Q1115" s="179">
        <f t="shared" si="33"/>
        <v>5.3916666666666666</v>
      </c>
      <c r="R1115" s="179" t="s">
        <v>994</v>
      </c>
    </row>
    <row r="1116" spans="1:18" x14ac:dyDescent="0.15">
      <c r="A1116" s="179" t="str">
        <f t="shared" si="32"/>
        <v>Magdalena Contreras_Flat Surface_247.5</v>
      </c>
      <c r="B1116" s="501" t="s">
        <v>1150</v>
      </c>
      <c r="C1116" s="429">
        <v>0</v>
      </c>
      <c r="D1116" s="429">
        <v>247.5</v>
      </c>
      <c r="E1116" s="431">
        <v>4.74</v>
      </c>
      <c r="F1116" s="431">
        <v>5.68</v>
      </c>
      <c r="G1116" s="431">
        <v>6.47</v>
      </c>
      <c r="H1116" s="431">
        <v>6.38</v>
      </c>
      <c r="I1116" s="431">
        <v>6.21</v>
      </c>
      <c r="J1116" s="431">
        <v>5.57</v>
      </c>
      <c r="K1116" s="431">
        <v>5.48</v>
      </c>
      <c r="L1116" s="431">
        <v>5.31</v>
      </c>
      <c r="M1116" s="431">
        <v>4.88</v>
      </c>
      <c r="N1116" s="431">
        <v>4.87</v>
      </c>
      <c r="O1116" s="431">
        <v>4.7699999999999996</v>
      </c>
      <c r="P1116" s="431">
        <v>4.34</v>
      </c>
      <c r="Q1116" s="179">
        <f t="shared" si="33"/>
        <v>5.3916666666666666</v>
      </c>
      <c r="R1116" s="179" t="s">
        <v>994</v>
      </c>
    </row>
    <row r="1117" spans="1:18" x14ac:dyDescent="0.15">
      <c r="A1117" s="179" t="str">
        <f t="shared" si="32"/>
        <v>Magdalena Contreras_Flat Surface_270</v>
      </c>
      <c r="B1117" s="501" t="s">
        <v>1150</v>
      </c>
      <c r="C1117" s="429">
        <v>0</v>
      </c>
      <c r="D1117" s="429">
        <v>270</v>
      </c>
      <c r="E1117" s="431">
        <v>4.74</v>
      </c>
      <c r="F1117" s="431">
        <v>5.68</v>
      </c>
      <c r="G1117" s="431">
        <v>6.47</v>
      </c>
      <c r="H1117" s="431">
        <v>6.38</v>
      </c>
      <c r="I1117" s="431">
        <v>6.21</v>
      </c>
      <c r="J1117" s="431">
        <v>5.57</v>
      </c>
      <c r="K1117" s="431">
        <v>5.48</v>
      </c>
      <c r="L1117" s="431">
        <v>5.31</v>
      </c>
      <c r="M1117" s="431">
        <v>4.88</v>
      </c>
      <c r="N1117" s="431">
        <v>4.87</v>
      </c>
      <c r="O1117" s="431">
        <v>4.7699999999999996</v>
      </c>
      <c r="P1117" s="431">
        <v>4.34</v>
      </c>
      <c r="Q1117" s="179">
        <f t="shared" si="33"/>
        <v>5.3916666666666666</v>
      </c>
      <c r="R1117" s="179" t="s">
        <v>994</v>
      </c>
    </row>
    <row r="1118" spans="1:18" x14ac:dyDescent="0.15">
      <c r="A1118" s="179" t="str">
        <f t="shared" si="32"/>
        <v>Magdalena Contreras_Optimal Summer_90</v>
      </c>
      <c r="B1118" s="501" t="s">
        <v>1150</v>
      </c>
      <c r="C1118" s="429">
        <v>4</v>
      </c>
      <c r="D1118" s="429">
        <v>90</v>
      </c>
      <c r="E1118" s="431">
        <v>4</v>
      </c>
      <c r="F1118" s="431">
        <v>4.72</v>
      </c>
      <c r="G1118" s="431">
        <v>5.29</v>
      </c>
      <c r="H1118" s="431">
        <v>5.13</v>
      </c>
      <c r="I1118" s="431">
        <v>4.93</v>
      </c>
      <c r="J1118" s="431">
        <v>4.49</v>
      </c>
      <c r="K1118" s="431">
        <v>4.41</v>
      </c>
      <c r="L1118" s="431">
        <v>4.25</v>
      </c>
      <c r="M1118" s="431">
        <v>3.94</v>
      </c>
      <c r="N1118" s="431">
        <v>4</v>
      </c>
      <c r="O1118" s="431">
        <v>4</v>
      </c>
      <c r="P1118" s="431">
        <v>3.66</v>
      </c>
      <c r="Q1118" s="179">
        <f t="shared" si="33"/>
        <v>4.4016666666666664</v>
      </c>
      <c r="R1118" s="179" t="s">
        <v>958</v>
      </c>
    </row>
    <row r="1119" spans="1:18" x14ac:dyDescent="0.15">
      <c r="A1119" s="179" t="str">
        <f t="shared" si="32"/>
        <v>Magdalena Contreras_Optimal Summer_112.5</v>
      </c>
      <c r="B1119" s="501" t="s">
        <v>1150</v>
      </c>
      <c r="C1119" s="429">
        <v>4</v>
      </c>
      <c r="D1119" s="429">
        <v>112.5</v>
      </c>
      <c r="E1119" s="431">
        <v>4.38</v>
      </c>
      <c r="F1119" s="431">
        <v>5.16</v>
      </c>
      <c r="G1119" s="431">
        <v>5.78</v>
      </c>
      <c r="H1119" s="431">
        <v>5.61</v>
      </c>
      <c r="I1119" s="431">
        <v>5.39</v>
      </c>
      <c r="J1119" s="431">
        <v>4.91</v>
      </c>
      <c r="K1119" s="431">
        <v>4.82</v>
      </c>
      <c r="L1119" s="431">
        <v>4.6500000000000004</v>
      </c>
      <c r="M1119" s="431">
        <v>4.3099999999999996</v>
      </c>
      <c r="N1119" s="431">
        <v>4.38</v>
      </c>
      <c r="O1119" s="431">
        <v>4.38</v>
      </c>
      <c r="P1119" s="431">
        <v>4</v>
      </c>
      <c r="Q1119" s="179">
        <f t="shared" si="33"/>
        <v>4.8141666666666669</v>
      </c>
      <c r="R1119" s="179" t="s">
        <v>958</v>
      </c>
    </row>
    <row r="1120" spans="1:18" x14ac:dyDescent="0.15">
      <c r="A1120" s="179" t="str">
        <f t="shared" si="32"/>
        <v>Magdalena Contreras_Optimal Summer_135</v>
      </c>
      <c r="B1120" s="501" t="s">
        <v>1150</v>
      </c>
      <c r="C1120" s="429">
        <v>4</v>
      </c>
      <c r="D1120" s="429">
        <v>135</v>
      </c>
      <c r="E1120" s="431">
        <v>4.75</v>
      </c>
      <c r="F1120" s="431">
        <v>5.6</v>
      </c>
      <c r="G1120" s="431">
        <v>6.28</v>
      </c>
      <c r="H1120" s="431">
        <v>6.09</v>
      </c>
      <c r="I1120" s="431">
        <v>5.85</v>
      </c>
      <c r="J1120" s="431">
        <v>5.33</v>
      </c>
      <c r="K1120" s="431">
        <v>5.23</v>
      </c>
      <c r="L1120" s="431">
        <v>5.04</v>
      </c>
      <c r="M1120" s="431">
        <v>4.68</v>
      </c>
      <c r="N1120" s="431">
        <v>4.75</v>
      </c>
      <c r="O1120" s="431">
        <v>4.75</v>
      </c>
      <c r="P1120" s="431">
        <v>4.34</v>
      </c>
      <c r="Q1120" s="179">
        <f t="shared" si="33"/>
        <v>5.2241666666666662</v>
      </c>
      <c r="R1120" s="179" t="s">
        <v>958</v>
      </c>
    </row>
    <row r="1121" spans="1:18" x14ac:dyDescent="0.15">
      <c r="A1121" s="179" t="str">
        <f t="shared" si="32"/>
        <v>Magdalena Contreras_Optimal Summer_157.5</v>
      </c>
      <c r="B1121" s="501" t="s">
        <v>1150</v>
      </c>
      <c r="C1121" s="429">
        <v>4</v>
      </c>
      <c r="D1121" s="429">
        <v>157.5</v>
      </c>
      <c r="E1121" s="431">
        <v>4.88</v>
      </c>
      <c r="F1121" s="431">
        <v>5.75</v>
      </c>
      <c r="G1121" s="431">
        <v>6.44</v>
      </c>
      <c r="H1121" s="431">
        <v>6.25</v>
      </c>
      <c r="I1121" s="431">
        <v>6.01</v>
      </c>
      <c r="J1121" s="431">
        <v>5.47</v>
      </c>
      <c r="K1121" s="431">
        <v>5.37</v>
      </c>
      <c r="L1121" s="431">
        <v>5.18</v>
      </c>
      <c r="M1121" s="431">
        <v>4.8099999999999996</v>
      </c>
      <c r="N1121" s="431">
        <v>4.88</v>
      </c>
      <c r="O1121" s="431">
        <v>4.88</v>
      </c>
      <c r="P1121" s="431">
        <v>4.46</v>
      </c>
      <c r="Q1121" s="179">
        <f t="shared" si="33"/>
        <v>5.3649999999999993</v>
      </c>
      <c r="R1121" s="179" t="s">
        <v>958</v>
      </c>
    </row>
    <row r="1122" spans="1:18" x14ac:dyDescent="0.15">
      <c r="A1122" s="179" t="str">
        <f t="shared" si="32"/>
        <v>Magdalena Contreras_Optimal Summer_180</v>
      </c>
      <c r="B1122" s="501" t="s">
        <v>1150</v>
      </c>
      <c r="C1122" s="429">
        <v>4</v>
      </c>
      <c r="D1122" s="429">
        <v>180</v>
      </c>
      <c r="E1122" s="431">
        <v>5</v>
      </c>
      <c r="F1122" s="431">
        <v>5.9</v>
      </c>
      <c r="G1122" s="431">
        <v>6.61</v>
      </c>
      <c r="H1122" s="431">
        <v>6.41</v>
      </c>
      <c r="I1122" s="431">
        <v>6.16</v>
      </c>
      <c r="J1122" s="431">
        <v>5.61</v>
      </c>
      <c r="K1122" s="431">
        <v>5.51</v>
      </c>
      <c r="L1122" s="431">
        <v>5.31</v>
      </c>
      <c r="M1122" s="431">
        <v>4.93</v>
      </c>
      <c r="N1122" s="431">
        <v>5</v>
      </c>
      <c r="O1122" s="431">
        <v>5</v>
      </c>
      <c r="P1122" s="431">
        <v>4.57</v>
      </c>
      <c r="Q1122" s="179">
        <f t="shared" si="33"/>
        <v>5.5008333333333335</v>
      </c>
      <c r="R1122" s="179" t="s">
        <v>958</v>
      </c>
    </row>
    <row r="1123" spans="1:18" x14ac:dyDescent="0.15">
      <c r="A1123" s="179" t="str">
        <f t="shared" si="32"/>
        <v>Magdalena Contreras_Optimal Summer_202.5</v>
      </c>
      <c r="B1123" s="501" t="s">
        <v>1150</v>
      </c>
      <c r="C1123" s="429">
        <v>4</v>
      </c>
      <c r="D1123" s="429">
        <v>202.5</v>
      </c>
      <c r="E1123" s="431">
        <v>4.88</v>
      </c>
      <c r="F1123" s="431">
        <v>5.75</v>
      </c>
      <c r="G1123" s="431">
        <v>6.44</v>
      </c>
      <c r="H1123" s="431">
        <v>6.25</v>
      </c>
      <c r="I1123" s="431">
        <v>6.01</v>
      </c>
      <c r="J1123" s="431">
        <v>5.47</v>
      </c>
      <c r="K1123" s="431">
        <v>5.37</v>
      </c>
      <c r="L1123" s="431">
        <v>5.18</v>
      </c>
      <c r="M1123" s="431">
        <v>4.8099999999999996</v>
      </c>
      <c r="N1123" s="431">
        <v>4.88</v>
      </c>
      <c r="O1123" s="431">
        <v>4.88</v>
      </c>
      <c r="P1123" s="431">
        <v>4.46</v>
      </c>
      <c r="Q1123" s="179">
        <f t="shared" si="33"/>
        <v>5.3649999999999993</v>
      </c>
      <c r="R1123" s="179" t="s">
        <v>958</v>
      </c>
    </row>
    <row r="1124" spans="1:18" x14ac:dyDescent="0.15">
      <c r="A1124" s="179" t="str">
        <f t="shared" si="32"/>
        <v>Magdalena Contreras_Optimal Summer_225</v>
      </c>
      <c r="B1124" s="501" t="s">
        <v>1150</v>
      </c>
      <c r="C1124" s="429">
        <v>4</v>
      </c>
      <c r="D1124" s="429">
        <v>225</v>
      </c>
      <c r="E1124" s="431">
        <v>4.75</v>
      </c>
      <c r="F1124" s="431">
        <v>5.6</v>
      </c>
      <c r="G1124" s="431">
        <v>6.28</v>
      </c>
      <c r="H1124" s="431">
        <v>6.09</v>
      </c>
      <c r="I1124" s="431">
        <v>5.85</v>
      </c>
      <c r="J1124" s="431">
        <v>5.33</v>
      </c>
      <c r="K1124" s="431">
        <v>5.23</v>
      </c>
      <c r="L1124" s="431">
        <v>5.04</v>
      </c>
      <c r="M1124" s="431">
        <v>4.68</v>
      </c>
      <c r="N1124" s="431">
        <v>4.75</v>
      </c>
      <c r="O1124" s="431">
        <v>4.75</v>
      </c>
      <c r="P1124" s="431">
        <v>4.34</v>
      </c>
      <c r="Q1124" s="179">
        <f t="shared" si="33"/>
        <v>5.2241666666666662</v>
      </c>
      <c r="R1124" s="179" t="s">
        <v>958</v>
      </c>
    </row>
    <row r="1125" spans="1:18" x14ac:dyDescent="0.15">
      <c r="A1125" s="179" t="str">
        <f t="shared" si="32"/>
        <v>Magdalena Contreras_Optimal Summer_247.5</v>
      </c>
      <c r="B1125" s="501" t="s">
        <v>1150</v>
      </c>
      <c r="C1125" s="429">
        <v>4</v>
      </c>
      <c r="D1125" s="429">
        <v>247.5</v>
      </c>
      <c r="E1125" s="431">
        <v>4.38</v>
      </c>
      <c r="F1125" s="431">
        <v>5.16</v>
      </c>
      <c r="G1125" s="431">
        <v>5.78</v>
      </c>
      <c r="H1125" s="431">
        <v>5.61</v>
      </c>
      <c r="I1125" s="431">
        <v>5.39</v>
      </c>
      <c r="J1125" s="431">
        <v>4.91</v>
      </c>
      <c r="K1125" s="431">
        <v>4.82</v>
      </c>
      <c r="L1125" s="431">
        <v>4.6500000000000004</v>
      </c>
      <c r="M1125" s="431">
        <v>4.3099999999999996</v>
      </c>
      <c r="N1125" s="431">
        <v>4.38</v>
      </c>
      <c r="O1125" s="431">
        <v>4.38</v>
      </c>
      <c r="P1125" s="431">
        <v>4</v>
      </c>
      <c r="Q1125" s="179">
        <f t="shared" si="33"/>
        <v>4.8141666666666669</v>
      </c>
      <c r="R1125" s="179" t="s">
        <v>958</v>
      </c>
    </row>
    <row r="1126" spans="1:18" x14ac:dyDescent="0.15">
      <c r="A1126" s="179" t="str">
        <f t="shared" si="32"/>
        <v>Magdalena Contreras_Optimal Summer_270</v>
      </c>
      <c r="B1126" s="501" t="s">
        <v>1150</v>
      </c>
      <c r="C1126" s="429">
        <v>4</v>
      </c>
      <c r="D1126" s="429">
        <v>270</v>
      </c>
      <c r="E1126" s="431">
        <v>4</v>
      </c>
      <c r="F1126" s="431">
        <v>4.72</v>
      </c>
      <c r="G1126" s="431">
        <v>5.29</v>
      </c>
      <c r="H1126" s="431">
        <v>5.13</v>
      </c>
      <c r="I1126" s="431">
        <v>4.93</v>
      </c>
      <c r="J1126" s="431">
        <v>4.49</v>
      </c>
      <c r="K1126" s="431">
        <v>4.41</v>
      </c>
      <c r="L1126" s="431">
        <v>4.25</v>
      </c>
      <c r="M1126" s="431">
        <v>3.94</v>
      </c>
      <c r="N1126" s="431">
        <v>4</v>
      </c>
      <c r="O1126" s="431">
        <v>4</v>
      </c>
      <c r="P1126" s="431">
        <v>3.66</v>
      </c>
      <c r="Q1126" s="179">
        <f t="shared" si="33"/>
        <v>4.4016666666666664</v>
      </c>
      <c r="R1126" s="179" t="s">
        <v>958</v>
      </c>
    </row>
    <row r="1127" spans="1:18" x14ac:dyDescent="0.15">
      <c r="A1127" s="179" t="str">
        <f t="shared" si="32"/>
        <v>Magdalena Contreras_Optimal Year Round_90</v>
      </c>
      <c r="B1127" s="501" t="s">
        <v>1150</v>
      </c>
      <c r="C1127" s="429">
        <v>19</v>
      </c>
      <c r="D1127" s="429">
        <v>90</v>
      </c>
      <c r="E1127" s="431">
        <v>4.62</v>
      </c>
      <c r="F1127" s="431">
        <v>5.21</v>
      </c>
      <c r="G1127" s="431">
        <v>5.5</v>
      </c>
      <c r="H1127" s="431">
        <v>5.03</v>
      </c>
      <c r="I1127" s="431">
        <v>4.62</v>
      </c>
      <c r="J1127" s="431">
        <v>4.47</v>
      </c>
      <c r="K1127" s="431">
        <v>4.37</v>
      </c>
      <c r="L1127" s="431">
        <v>4.0999999999999996</v>
      </c>
      <c r="M1127" s="431">
        <v>3.97</v>
      </c>
      <c r="N1127" s="431">
        <v>4.26</v>
      </c>
      <c r="O1127" s="431">
        <v>4.54</v>
      </c>
      <c r="P1127" s="431">
        <v>4.22</v>
      </c>
      <c r="Q1127" s="179">
        <f t="shared" si="33"/>
        <v>4.5758333333333328</v>
      </c>
      <c r="R1127" s="179" t="s">
        <v>993</v>
      </c>
    </row>
    <row r="1128" spans="1:18" x14ac:dyDescent="0.15">
      <c r="A1128" s="179" t="str">
        <f t="shared" si="32"/>
        <v>Magdalena Contreras_Optimal Year Round_112.5</v>
      </c>
      <c r="B1128" s="501" t="s">
        <v>1150</v>
      </c>
      <c r="C1128" s="429">
        <v>19</v>
      </c>
      <c r="D1128" s="429">
        <v>112.5</v>
      </c>
      <c r="E1128" s="431">
        <v>5.05</v>
      </c>
      <c r="F1128" s="431">
        <v>5.7</v>
      </c>
      <c r="G1128" s="431">
        <v>6.01</v>
      </c>
      <c r="H1128" s="431">
        <v>5.5</v>
      </c>
      <c r="I1128" s="431">
        <v>5.0599999999999996</v>
      </c>
      <c r="J1128" s="431">
        <v>4.8899999999999997</v>
      </c>
      <c r="K1128" s="431">
        <v>4.78</v>
      </c>
      <c r="L1128" s="431">
        <v>4.49</v>
      </c>
      <c r="M1128" s="431">
        <v>4.34</v>
      </c>
      <c r="N1128" s="431">
        <v>4.66</v>
      </c>
      <c r="O1128" s="431">
        <v>4.97</v>
      </c>
      <c r="P1128" s="431">
        <v>4.62</v>
      </c>
      <c r="Q1128" s="179">
        <f t="shared" si="33"/>
        <v>5.0058333333333325</v>
      </c>
      <c r="R1128" s="179" t="s">
        <v>993</v>
      </c>
    </row>
    <row r="1129" spans="1:18" x14ac:dyDescent="0.15">
      <c r="A1129" s="179" t="str">
        <f t="shared" si="32"/>
        <v>Magdalena Contreras_Optimal Year Round_135</v>
      </c>
      <c r="B1129" s="501" t="s">
        <v>1150</v>
      </c>
      <c r="C1129" s="429">
        <v>19</v>
      </c>
      <c r="D1129" s="429">
        <v>135</v>
      </c>
      <c r="E1129" s="431">
        <v>5.48</v>
      </c>
      <c r="F1129" s="431">
        <v>6.18</v>
      </c>
      <c r="G1129" s="431">
        <v>6.53</v>
      </c>
      <c r="H1129" s="431">
        <v>5.98</v>
      </c>
      <c r="I1129" s="431">
        <v>5.49</v>
      </c>
      <c r="J1129" s="431">
        <v>5.31</v>
      </c>
      <c r="K1129" s="431">
        <v>5.19</v>
      </c>
      <c r="L1129" s="431">
        <v>4.87</v>
      </c>
      <c r="M1129" s="431">
        <v>4.71</v>
      </c>
      <c r="N1129" s="431">
        <v>5.0599999999999996</v>
      </c>
      <c r="O1129" s="431">
        <v>5.4</v>
      </c>
      <c r="P1129" s="431">
        <v>5.0199999999999996</v>
      </c>
      <c r="Q1129" s="179">
        <f t="shared" si="33"/>
        <v>5.4349999999999996</v>
      </c>
      <c r="R1129" s="179" t="s">
        <v>993</v>
      </c>
    </row>
    <row r="1130" spans="1:18" x14ac:dyDescent="0.15">
      <c r="A1130" s="179" t="str">
        <f t="shared" si="32"/>
        <v>Magdalena Contreras_Optimal Year Round_157.5</v>
      </c>
      <c r="B1130" s="501" t="s">
        <v>1150</v>
      </c>
      <c r="C1130" s="429">
        <v>19</v>
      </c>
      <c r="D1130" s="429">
        <v>157.5</v>
      </c>
      <c r="E1130" s="431">
        <v>5.63</v>
      </c>
      <c r="F1130" s="431">
        <v>6.35</v>
      </c>
      <c r="G1130" s="431">
        <v>6.7</v>
      </c>
      <c r="H1130" s="431">
        <v>6.13</v>
      </c>
      <c r="I1130" s="431">
        <v>5.64</v>
      </c>
      <c r="J1130" s="431">
        <v>5.45</v>
      </c>
      <c r="K1130" s="431">
        <v>5.32</v>
      </c>
      <c r="L1130" s="431">
        <v>5</v>
      </c>
      <c r="M1130" s="431">
        <v>4.84</v>
      </c>
      <c r="N1130" s="431">
        <v>5.2</v>
      </c>
      <c r="O1130" s="431">
        <v>5.54</v>
      </c>
      <c r="P1130" s="431">
        <v>5.15</v>
      </c>
      <c r="Q1130" s="179">
        <f t="shared" si="33"/>
        <v>5.5791666666666666</v>
      </c>
      <c r="R1130" s="179" t="s">
        <v>993</v>
      </c>
    </row>
    <row r="1131" spans="1:18" x14ac:dyDescent="0.15">
      <c r="A1131" s="179" t="str">
        <f t="shared" si="32"/>
        <v>Magdalena Contreras_Optimal Year Round_180</v>
      </c>
      <c r="B1131" s="501" t="s">
        <v>1150</v>
      </c>
      <c r="C1131" s="429">
        <v>19</v>
      </c>
      <c r="D1131" s="429">
        <v>180</v>
      </c>
      <c r="E1131" s="431">
        <v>5.77</v>
      </c>
      <c r="F1131" s="431">
        <v>6.51</v>
      </c>
      <c r="G1131" s="431">
        <v>6.87</v>
      </c>
      <c r="H1131" s="431">
        <v>6.29</v>
      </c>
      <c r="I1131" s="431">
        <v>5.78</v>
      </c>
      <c r="J1131" s="431">
        <v>5.59</v>
      </c>
      <c r="K1131" s="431">
        <v>5.46</v>
      </c>
      <c r="L1131" s="431">
        <v>5.13</v>
      </c>
      <c r="M1131" s="431">
        <v>4.96</v>
      </c>
      <c r="N1131" s="431">
        <v>5.33</v>
      </c>
      <c r="O1131" s="431">
        <v>5.68</v>
      </c>
      <c r="P1131" s="431">
        <v>5.28</v>
      </c>
      <c r="Q1131" s="179">
        <f t="shared" si="33"/>
        <v>5.7208333333333341</v>
      </c>
      <c r="R1131" s="179" t="s">
        <v>993</v>
      </c>
    </row>
    <row r="1132" spans="1:18" x14ac:dyDescent="0.15">
      <c r="A1132" s="179" t="str">
        <f t="shared" si="32"/>
        <v>Magdalena Contreras_Optimal Year Round_202.5</v>
      </c>
      <c r="B1132" s="501" t="s">
        <v>1150</v>
      </c>
      <c r="C1132" s="429">
        <v>19</v>
      </c>
      <c r="D1132" s="429">
        <v>202.5</v>
      </c>
      <c r="E1132" s="431">
        <v>5.63</v>
      </c>
      <c r="F1132" s="431">
        <v>6.35</v>
      </c>
      <c r="G1132" s="431">
        <v>6.7</v>
      </c>
      <c r="H1132" s="431">
        <v>6.13</v>
      </c>
      <c r="I1132" s="431">
        <v>5.64</v>
      </c>
      <c r="J1132" s="431">
        <v>5.45</v>
      </c>
      <c r="K1132" s="431">
        <v>5.32</v>
      </c>
      <c r="L1132" s="431">
        <v>5</v>
      </c>
      <c r="M1132" s="431">
        <v>4.84</v>
      </c>
      <c r="N1132" s="431">
        <v>5.2</v>
      </c>
      <c r="O1132" s="431">
        <v>5.54</v>
      </c>
      <c r="P1132" s="431">
        <v>5.15</v>
      </c>
      <c r="Q1132" s="179">
        <f t="shared" si="33"/>
        <v>5.5791666666666666</v>
      </c>
      <c r="R1132" s="179" t="s">
        <v>993</v>
      </c>
    </row>
    <row r="1133" spans="1:18" x14ac:dyDescent="0.15">
      <c r="A1133" s="179" t="str">
        <f t="shared" si="32"/>
        <v>Magdalena Contreras_Optimal Year Round_225</v>
      </c>
      <c r="B1133" s="501" t="s">
        <v>1150</v>
      </c>
      <c r="C1133" s="429">
        <v>19</v>
      </c>
      <c r="D1133" s="429">
        <v>225</v>
      </c>
      <c r="E1133" s="431">
        <v>5.48</v>
      </c>
      <c r="F1133" s="431">
        <v>6.18</v>
      </c>
      <c r="G1133" s="431">
        <v>6.53</v>
      </c>
      <c r="H1133" s="431">
        <v>5.98</v>
      </c>
      <c r="I1133" s="431">
        <v>5.49</v>
      </c>
      <c r="J1133" s="431">
        <v>5.31</v>
      </c>
      <c r="K1133" s="431">
        <v>5.19</v>
      </c>
      <c r="L1133" s="431">
        <v>4.87</v>
      </c>
      <c r="M1133" s="431">
        <v>4.71</v>
      </c>
      <c r="N1133" s="431">
        <v>5.0599999999999996</v>
      </c>
      <c r="O1133" s="431">
        <v>5.4</v>
      </c>
      <c r="P1133" s="431">
        <v>5.0199999999999996</v>
      </c>
      <c r="Q1133" s="179">
        <f t="shared" si="33"/>
        <v>5.4349999999999996</v>
      </c>
      <c r="R1133" s="179" t="s">
        <v>993</v>
      </c>
    </row>
    <row r="1134" spans="1:18" x14ac:dyDescent="0.15">
      <c r="A1134" s="179" t="str">
        <f t="shared" si="32"/>
        <v>Magdalena Contreras_Optimal Year Round_247.5</v>
      </c>
      <c r="B1134" s="501" t="s">
        <v>1150</v>
      </c>
      <c r="C1134" s="429">
        <v>19</v>
      </c>
      <c r="D1134" s="429">
        <v>247.5</v>
      </c>
      <c r="E1134" s="431">
        <v>5.05</v>
      </c>
      <c r="F1134" s="431">
        <v>5.7</v>
      </c>
      <c r="G1134" s="431">
        <v>6.01</v>
      </c>
      <c r="H1134" s="431">
        <v>5.5</v>
      </c>
      <c r="I1134" s="431">
        <v>5.0599999999999996</v>
      </c>
      <c r="J1134" s="431">
        <v>4.8899999999999997</v>
      </c>
      <c r="K1134" s="431">
        <v>4.78</v>
      </c>
      <c r="L1134" s="431">
        <v>4.49</v>
      </c>
      <c r="M1134" s="431">
        <v>4.34</v>
      </c>
      <c r="N1134" s="431">
        <v>4.66</v>
      </c>
      <c r="O1134" s="431">
        <v>4.97</v>
      </c>
      <c r="P1134" s="431">
        <v>4.62</v>
      </c>
      <c r="Q1134" s="179">
        <f t="shared" si="33"/>
        <v>5.0058333333333325</v>
      </c>
      <c r="R1134" s="179" t="s">
        <v>993</v>
      </c>
    </row>
    <row r="1135" spans="1:18" x14ac:dyDescent="0.15">
      <c r="A1135" s="179" t="str">
        <f t="shared" si="32"/>
        <v>Magdalena Contreras_Optimal Year Round_270</v>
      </c>
      <c r="B1135" s="501" t="s">
        <v>1150</v>
      </c>
      <c r="C1135" s="429">
        <v>19</v>
      </c>
      <c r="D1135" s="429">
        <v>270</v>
      </c>
      <c r="E1135" s="431">
        <v>4.62</v>
      </c>
      <c r="F1135" s="431">
        <v>5.21</v>
      </c>
      <c r="G1135" s="431">
        <v>5.5</v>
      </c>
      <c r="H1135" s="431">
        <v>5.03</v>
      </c>
      <c r="I1135" s="431">
        <v>4.62</v>
      </c>
      <c r="J1135" s="431">
        <v>4.47</v>
      </c>
      <c r="K1135" s="431">
        <v>4.37</v>
      </c>
      <c r="L1135" s="431">
        <v>4.0999999999999996</v>
      </c>
      <c r="M1135" s="431">
        <v>3.97</v>
      </c>
      <c r="N1135" s="431">
        <v>4.26</v>
      </c>
      <c r="O1135" s="431">
        <v>4.54</v>
      </c>
      <c r="P1135" s="431">
        <v>4.22</v>
      </c>
      <c r="Q1135" s="179">
        <f t="shared" si="33"/>
        <v>4.5758333333333328</v>
      </c>
      <c r="R1135" s="179" t="s">
        <v>993</v>
      </c>
    </row>
    <row r="1136" spans="1:18" x14ac:dyDescent="0.15">
      <c r="A1136" s="179" t="str">
        <f t="shared" si="32"/>
        <v>Matamoros_Flat Surface_90</v>
      </c>
      <c r="B1136" s="501" t="s">
        <v>1151</v>
      </c>
      <c r="C1136" s="429">
        <v>0</v>
      </c>
      <c r="D1136" s="429">
        <v>90</v>
      </c>
      <c r="E1136" s="431">
        <v>2.97</v>
      </c>
      <c r="F1136" s="431">
        <v>3.66</v>
      </c>
      <c r="G1136" s="431">
        <v>4.63</v>
      </c>
      <c r="H1136" s="431">
        <v>5.23</v>
      </c>
      <c r="I1136" s="431">
        <v>5.92</v>
      </c>
      <c r="J1136" s="431">
        <v>6.24</v>
      </c>
      <c r="K1136" s="431">
        <v>6.3</v>
      </c>
      <c r="L1136" s="431">
        <v>5.81</v>
      </c>
      <c r="M1136" s="431">
        <v>4.93</v>
      </c>
      <c r="N1136" s="431">
        <v>4.3899999999999997</v>
      </c>
      <c r="O1136" s="431">
        <v>3.46</v>
      </c>
      <c r="P1136" s="431">
        <v>2.89</v>
      </c>
      <c r="Q1136" s="179">
        <f t="shared" si="33"/>
        <v>4.7025000000000006</v>
      </c>
      <c r="R1136" s="179" t="s">
        <v>994</v>
      </c>
    </row>
    <row r="1137" spans="1:18" x14ac:dyDescent="0.15">
      <c r="A1137" s="179" t="str">
        <f t="shared" si="32"/>
        <v>Matamoros_Flat Surface_112.5</v>
      </c>
      <c r="B1137" s="501" t="s">
        <v>1151</v>
      </c>
      <c r="C1137" s="429">
        <v>0</v>
      </c>
      <c r="D1137" s="429">
        <v>112.5</v>
      </c>
      <c r="E1137" s="431">
        <v>2.97</v>
      </c>
      <c r="F1137" s="431">
        <v>3.66</v>
      </c>
      <c r="G1137" s="431">
        <v>4.63</v>
      </c>
      <c r="H1137" s="431">
        <v>5.23</v>
      </c>
      <c r="I1137" s="431">
        <v>5.92</v>
      </c>
      <c r="J1137" s="431">
        <v>6.24</v>
      </c>
      <c r="K1137" s="431">
        <v>6.3</v>
      </c>
      <c r="L1137" s="431">
        <v>5.81</v>
      </c>
      <c r="M1137" s="431">
        <v>4.93</v>
      </c>
      <c r="N1137" s="431">
        <v>4.3899999999999997</v>
      </c>
      <c r="O1137" s="431">
        <v>3.46</v>
      </c>
      <c r="P1137" s="431">
        <v>2.89</v>
      </c>
      <c r="Q1137" s="179">
        <f t="shared" si="33"/>
        <v>4.7025000000000006</v>
      </c>
      <c r="R1137" s="179" t="s">
        <v>994</v>
      </c>
    </row>
    <row r="1138" spans="1:18" x14ac:dyDescent="0.15">
      <c r="A1138" s="179" t="str">
        <f t="shared" si="32"/>
        <v>Matamoros_Flat Surface_135</v>
      </c>
      <c r="B1138" s="501" t="s">
        <v>1151</v>
      </c>
      <c r="C1138" s="429">
        <v>0</v>
      </c>
      <c r="D1138" s="429">
        <v>135</v>
      </c>
      <c r="E1138" s="431">
        <v>2.97</v>
      </c>
      <c r="F1138" s="431">
        <v>3.66</v>
      </c>
      <c r="G1138" s="431">
        <v>4.63</v>
      </c>
      <c r="H1138" s="431">
        <v>5.23</v>
      </c>
      <c r="I1138" s="431">
        <v>5.92</v>
      </c>
      <c r="J1138" s="431">
        <v>6.24</v>
      </c>
      <c r="K1138" s="431">
        <v>6.3</v>
      </c>
      <c r="L1138" s="431">
        <v>5.81</v>
      </c>
      <c r="M1138" s="431">
        <v>4.93</v>
      </c>
      <c r="N1138" s="431">
        <v>4.3899999999999997</v>
      </c>
      <c r="O1138" s="431">
        <v>3.46</v>
      </c>
      <c r="P1138" s="431">
        <v>2.89</v>
      </c>
      <c r="Q1138" s="179">
        <f t="shared" si="33"/>
        <v>4.7025000000000006</v>
      </c>
      <c r="R1138" s="179" t="s">
        <v>994</v>
      </c>
    </row>
    <row r="1139" spans="1:18" x14ac:dyDescent="0.15">
      <c r="A1139" s="179" t="str">
        <f t="shared" si="32"/>
        <v>Matamoros_Flat Surface_157.5</v>
      </c>
      <c r="B1139" s="501" t="s">
        <v>1151</v>
      </c>
      <c r="C1139" s="429">
        <v>0</v>
      </c>
      <c r="D1139" s="429">
        <v>157.5</v>
      </c>
      <c r="E1139" s="431">
        <v>2.97</v>
      </c>
      <c r="F1139" s="431">
        <v>3.66</v>
      </c>
      <c r="G1139" s="431">
        <v>4.63</v>
      </c>
      <c r="H1139" s="431">
        <v>5.23</v>
      </c>
      <c r="I1139" s="431">
        <v>5.92</v>
      </c>
      <c r="J1139" s="431">
        <v>6.24</v>
      </c>
      <c r="K1139" s="431">
        <v>6.3</v>
      </c>
      <c r="L1139" s="431">
        <v>5.81</v>
      </c>
      <c r="M1139" s="431">
        <v>4.93</v>
      </c>
      <c r="N1139" s="431">
        <v>4.3899999999999997</v>
      </c>
      <c r="O1139" s="431">
        <v>3.46</v>
      </c>
      <c r="P1139" s="431">
        <v>2.89</v>
      </c>
      <c r="Q1139" s="179">
        <f t="shared" si="33"/>
        <v>4.7025000000000006</v>
      </c>
      <c r="R1139" s="179" t="s">
        <v>994</v>
      </c>
    </row>
    <row r="1140" spans="1:18" x14ac:dyDescent="0.15">
      <c r="A1140" s="179" t="str">
        <f t="shared" si="32"/>
        <v>Matamoros_Flat Surface_180</v>
      </c>
      <c r="B1140" s="501" t="s">
        <v>1151</v>
      </c>
      <c r="C1140" s="429">
        <v>0</v>
      </c>
      <c r="D1140" s="429">
        <v>180</v>
      </c>
      <c r="E1140" s="431">
        <v>2.97</v>
      </c>
      <c r="F1140" s="431">
        <v>3.66</v>
      </c>
      <c r="G1140" s="431">
        <v>4.63</v>
      </c>
      <c r="H1140" s="431">
        <v>5.23</v>
      </c>
      <c r="I1140" s="431">
        <v>5.92</v>
      </c>
      <c r="J1140" s="431">
        <v>6.24</v>
      </c>
      <c r="K1140" s="431">
        <v>6.3</v>
      </c>
      <c r="L1140" s="431">
        <v>5.81</v>
      </c>
      <c r="M1140" s="431">
        <v>4.93</v>
      </c>
      <c r="N1140" s="431">
        <v>4.3899999999999997</v>
      </c>
      <c r="O1140" s="431">
        <v>3.46</v>
      </c>
      <c r="P1140" s="431">
        <v>2.89</v>
      </c>
      <c r="Q1140" s="179">
        <f t="shared" si="33"/>
        <v>4.7025000000000006</v>
      </c>
      <c r="R1140" s="179" t="s">
        <v>994</v>
      </c>
    </row>
    <row r="1141" spans="1:18" x14ac:dyDescent="0.15">
      <c r="A1141" s="179" t="str">
        <f t="shared" si="32"/>
        <v>Matamoros_Flat Surface_202.5</v>
      </c>
      <c r="B1141" s="501" t="s">
        <v>1151</v>
      </c>
      <c r="C1141" s="429">
        <v>0</v>
      </c>
      <c r="D1141" s="429">
        <v>202.5</v>
      </c>
      <c r="E1141" s="431">
        <v>2.97</v>
      </c>
      <c r="F1141" s="431">
        <v>3.66</v>
      </c>
      <c r="G1141" s="431">
        <v>4.63</v>
      </c>
      <c r="H1141" s="431">
        <v>5.23</v>
      </c>
      <c r="I1141" s="431">
        <v>5.92</v>
      </c>
      <c r="J1141" s="431">
        <v>6.24</v>
      </c>
      <c r="K1141" s="431">
        <v>6.3</v>
      </c>
      <c r="L1141" s="431">
        <v>5.81</v>
      </c>
      <c r="M1141" s="431">
        <v>4.93</v>
      </c>
      <c r="N1141" s="431">
        <v>4.3899999999999997</v>
      </c>
      <c r="O1141" s="431">
        <v>3.46</v>
      </c>
      <c r="P1141" s="431">
        <v>2.89</v>
      </c>
      <c r="Q1141" s="179">
        <f t="shared" si="33"/>
        <v>4.7025000000000006</v>
      </c>
      <c r="R1141" s="179" t="s">
        <v>994</v>
      </c>
    </row>
    <row r="1142" spans="1:18" x14ac:dyDescent="0.15">
      <c r="A1142" s="179" t="str">
        <f t="shared" si="32"/>
        <v>Matamoros_Flat Surface_225</v>
      </c>
      <c r="B1142" s="501" t="s">
        <v>1151</v>
      </c>
      <c r="C1142" s="429">
        <v>0</v>
      </c>
      <c r="D1142" s="429">
        <v>225</v>
      </c>
      <c r="E1142" s="431">
        <v>2.97</v>
      </c>
      <c r="F1142" s="431">
        <v>3.66</v>
      </c>
      <c r="G1142" s="431">
        <v>4.63</v>
      </c>
      <c r="H1142" s="431">
        <v>5.23</v>
      </c>
      <c r="I1142" s="431">
        <v>5.92</v>
      </c>
      <c r="J1142" s="431">
        <v>6.24</v>
      </c>
      <c r="K1142" s="431">
        <v>6.3</v>
      </c>
      <c r="L1142" s="431">
        <v>5.81</v>
      </c>
      <c r="M1142" s="431">
        <v>4.93</v>
      </c>
      <c r="N1142" s="431">
        <v>4.3899999999999997</v>
      </c>
      <c r="O1142" s="431">
        <v>3.46</v>
      </c>
      <c r="P1142" s="431">
        <v>2.89</v>
      </c>
      <c r="Q1142" s="179">
        <f t="shared" si="33"/>
        <v>4.7025000000000006</v>
      </c>
      <c r="R1142" s="179" t="s">
        <v>994</v>
      </c>
    </row>
    <row r="1143" spans="1:18" x14ac:dyDescent="0.15">
      <c r="A1143" s="179" t="str">
        <f t="shared" si="32"/>
        <v>Matamoros_Flat Surface_247.5</v>
      </c>
      <c r="B1143" s="501" t="s">
        <v>1151</v>
      </c>
      <c r="C1143" s="429">
        <v>0</v>
      </c>
      <c r="D1143" s="429">
        <v>247.5</v>
      </c>
      <c r="E1143" s="431">
        <v>2.97</v>
      </c>
      <c r="F1143" s="431">
        <v>3.66</v>
      </c>
      <c r="G1143" s="431">
        <v>4.63</v>
      </c>
      <c r="H1143" s="431">
        <v>5.23</v>
      </c>
      <c r="I1143" s="431">
        <v>5.92</v>
      </c>
      <c r="J1143" s="431">
        <v>6.24</v>
      </c>
      <c r="K1143" s="431">
        <v>6.3</v>
      </c>
      <c r="L1143" s="431">
        <v>5.81</v>
      </c>
      <c r="M1143" s="431">
        <v>4.93</v>
      </c>
      <c r="N1143" s="431">
        <v>4.3899999999999997</v>
      </c>
      <c r="O1143" s="431">
        <v>3.46</v>
      </c>
      <c r="P1143" s="431">
        <v>2.89</v>
      </c>
      <c r="Q1143" s="179">
        <f t="shared" si="33"/>
        <v>4.7025000000000006</v>
      </c>
      <c r="R1143" s="179" t="s">
        <v>994</v>
      </c>
    </row>
    <row r="1144" spans="1:18" x14ac:dyDescent="0.15">
      <c r="A1144" s="179" t="str">
        <f t="shared" si="32"/>
        <v>Matamoros_Flat Surface_270</v>
      </c>
      <c r="B1144" s="501" t="s">
        <v>1151</v>
      </c>
      <c r="C1144" s="429">
        <v>0</v>
      </c>
      <c r="D1144" s="429">
        <v>270</v>
      </c>
      <c r="E1144" s="431">
        <v>2.97</v>
      </c>
      <c r="F1144" s="431">
        <v>3.66</v>
      </c>
      <c r="G1144" s="431">
        <v>4.63</v>
      </c>
      <c r="H1144" s="431">
        <v>5.23</v>
      </c>
      <c r="I1144" s="431">
        <v>5.92</v>
      </c>
      <c r="J1144" s="431">
        <v>6.24</v>
      </c>
      <c r="K1144" s="431">
        <v>6.3</v>
      </c>
      <c r="L1144" s="431">
        <v>5.81</v>
      </c>
      <c r="M1144" s="431">
        <v>4.93</v>
      </c>
      <c r="N1144" s="431">
        <v>4.3899999999999997</v>
      </c>
      <c r="O1144" s="431">
        <v>3.46</v>
      </c>
      <c r="P1144" s="431">
        <v>2.89</v>
      </c>
      <c r="Q1144" s="179">
        <f t="shared" si="33"/>
        <v>4.7025000000000006</v>
      </c>
      <c r="R1144" s="179" t="s">
        <v>994</v>
      </c>
    </row>
    <row r="1145" spans="1:18" x14ac:dyDescent="0.15">
      <c r="A1145" s="179" t="str">
        <f t="shared" si="32"/>
        <v>Matamoros_Optimal Summer_90</v>
      </c>
      <c r="B1145" s="501" t="s">
        <v>1151</v>
      </c>
      <c r="C1145" s="429">
        <v>11</v>
      </c>
      <c r="D1145" s="429">
        <v>90</v>
      </c>
      <c r="E1145" s="431">
        <v>2.64</v>
      </c>
      <c r="F1145" s="431">
        <v>3.17</v>
      </c>
      <c r="G1145" s="431">
        <v>3.88</v>
      </c>
      <c r="H1145" s="431">
        <v>4.24</v>
      </c>
      <c r="I1145" s="431">
        <v>4.67</v>
      </c>
      <c r="J1145" s="431">
        <v>4.87</v>
      </c>
      <c r="K1145" s="431">
        <v>4.9400000000000004</v>
      </c>
      <c r="L1145" s="431">
        <v>4.6500000000000004</v>
      </c>
      <c r="M1145" s="431">
        <v>4.07</v>
      </c>
      <c r="N1145" s="431">
        <v>3.78</v>
      </c>
      <c r="O1145" s="431">
        <v>3.08</v>
      </c>
      <c r="P1145" s="431">
        <v>2.61</v>
      </c>
      <c r="Q1145" s="179">
        <f t="shared" si="33"/>
        <v>3.8833333333333333</v>
      </c>
      <c r="R1145" s="179" t="s">
        <v>958</v>
      </c>
    </row>
    <row r="1146" spans="1:18" x14ac:dyDescent="0.15">
      <c r="A1146" s="179" t="str">
        <f t="shared" si="32"/>
        <v>Matamoros_Optimal Summer_112.5</v>
      </c>
      <c r="B1146" s="501" t="s">
        <v>1151</v>
      </c>
      <c r="C1146" s="429">
        <v>11</v>
      </c>
      <c r="D1146" s="429">
        <v>112.5</v>
      </c>
      <c r="E1146" s="431">
        <v>2.89</v>
      </c>
      <c r="F1146" s="431">
        <v>3.46</v>
      </c>
      <c r="G1146" s="431">
        <v>4.24</v>
      </c>
      <c r="H1146" s="431">
        <v>4.6399999999999997</v>
      </c>
      <c r="I1146" s="431">
        <v>5.1100000000000003</v>
      </c>
      <c r="J1146" s="431">
        <v>5.33</v>
      </c>
      <c r="K1146" s="431">
        <v>5.41</v>
      </c>
      <c r="L1146" s="431">
        <v>5.08</v>
      </c>
      <c r="M1146" s="431">
        <v>4.45</v>
      </c>
      <c r="N1146" s="431">
        <v>4.1399999999999997</v>
      </c>
      <c r="O1146" s="431">
        <v>3.37</v>
      </c>
      <c r="P1146" s="431">
        <v>2.85</v>
      </c>
      <c r="Q1146" s="179">
        <f t="shared" si="33"/>
        <v>4.2475000000000005</v>
      </c>
      <c r="R1146" s="179" t="s">
        <v>958</v>
      </c>
    </row>
    <row r="1147" spans="1:18" x14ac:dyDescent="0.15">
      <c r="A1147" s="179" t="str">
        <f t="shared" si="32"/>
        <v>Matamoros_Optimal Summer_135</v>
      </c>
      <c r="B1147" s="501" t="s">
        <v>1151</v>
      </c>
      <c r="C1147" s="429">
        <v>11</v>
      </c>
      <c r="D1147" s="429">
        <v>135</v>
      </c>
      <c r="E1147" s="431">
        <v>3.14</v>
      </c>
      <c r="F1147" s="431">
        <v>3.76</v>
      </c>
      <c r="G1147" s="431">
        <v>4.6100000000000003</v>
      </c>
      <c r="H1147" s="431">
        <v>5.04</v>
      </c>
      <c r="I1147" s="431">
        <v>5.55</v>
      </c>
      <c r="J1147" s="431">
        <v>5.79</v>
      </c>
      <c r="K1147" s="431">
        <v>5.87</v>
      </c>
      <c r="L1147" s="431">
        <v>5.52</v>
      </c>
      <c r="M1147" s="431">
        <v>4.84</v>
      </c>
      <c r="N1147" s="431">
        <v>4.49</v>
      </c>
      <c r="O1147" s="431">
        <v>3.66</v>
      </c>
      <c r="P1147" s="431">
        <v>3.1</v>
      </c>
      <c r="Q1147" s="179">
        <f t="shared" si="33"/>
        <v>4.6141666666666676</v>
      </c>
      <c r="R1147" s="179" t="s">
        <v>958</v>
      </c>
    </row>
    <row r="1148" spans="1:18" x14ac:dyDescent="0.15">
      <c r="A1148" s="179" t="str">
        <f t="shared" si="32"/>
        <v>Matamoros_Optimal Summer_157.5</v>
      </c>
      <c r="B1148" s="501" t="s">
        <v>1151</v>
      </c>
      <c r="C1148" s="429">
        <v>11</v>
      </c>
      <c r="D1148" s="429">
        <v>157.5</v>
      </c>
      <c r="E1148" s="431">
        <v>3.22</v>
      </c>
      <c r="F1148" s="431">
        <v>3.86</v>
      </c>
      <c r="G1148" s="431">
        <v>4.7300000000000004</v>
      </c>
      <c r="H1148" s="431">
        <v>5.17</v>
      </c>
      <c r="I1148" s="431">
        <v>5.69</v>
      </c>
      <c r="J1148" s="431">
        <v>5.94</v>
      </c>
      <c r="K1148" s="431">
        <v>6.03</v>
      </c>
      <c r="L1148" s="431">
        <v>5.66</v>
      </c>
      <c r="M1148" s="431">
        <v>4.96</v>
      </c>
      <c r="N1148" s="431">
        <v>4.6100000000000003</v>
      </c>
      <c r="O1148" s="431">
        <v>3.75</v>
      </c>
      <c r="P1148" s="431">
        <v>3.18</v>
      </c>
      <c r="Q1148" s="179">
        <f t="shared" si="33"/>
        <v>4.7333333333333334</v>
      </c>
      <c r="R1148" s="179" t="s">
        <v>958</v>
      </c>
    </row>
    <row r="1149" spans="1:18" x14ac:dyDescent="0.15">
      <c r="A1149" s="179" t="str">
        <f t="shared" si="32"/>
        <v>Matamoros_Optimal Summer_180</v>
      </c>
      <c r="B1149" s="501" t="s">
        <v>1151</v>
      </c>
      <c r="C1149" s="429">
        <v>11</v>
      </c>
      <c r="D1149" s="429">
        <v>180</v>
      </c>
      <c r="E1149" s="431">
        <v>3.3</v>
      </c>
      <c r="F1149" s="431">
        <v>3.96</v>
      </c>
      <c r="G1149" s="431">
        <v>4.8499999999999996</v>
      </c>
      <c r="H1149" s="431">
        <v>5.3</v>
      </c>
      <c r="I1149" s="431">
        <v>5.84</v>
      </c>
      <c r="J1149" s="431">
        <v>6.09</v>
      </c>
      <c r="K1149" s="431">
        <v>6.18</v>
      </c>
      <c r="L1149" s="431">
        <v>5.81</v>
      </c>
      <c r="M1149" s="431">
        <v>5.09</v>
      </c>
      <c r="N1149" s="431">
        <v>4.7300000000000004</v>
      </c>
      <c r="O1149" s="431">
        <v>3.85</v>
      </c>
      <c r="P1149" s="431">
        <v>3.26</v>
      </c>
      <c r="Q1149" s="179">
        <f t="shared" si="33"/>
        <v>4.8550000000000004</v>
      </c>
      <c r="R1149" s="179" t="s">
        <v>958</v>
      </c>
    </row>
    <row r="1150" spans="1:18" x14ac:dyDescent="0.15">
      <c r="A1150" s="179" t="str">
        <f t="shared" si="32"/>
        <v>Matamoros_Optimal Summer_202.5</v>
      </c>
      <c r="B1150" s="501" t="s">
        <v>1151</v>
      </c>
      <c r="C1150" s="429">
        <v>11</v>
      </c>
      <c r="D1150" s="429">
        <v>202.5</v>
      </c>
      <c r="E1150" s="431">
        <v>3.22</v>
      </c>
      <c r="F1150" s="431">
        <v>3.86</v>
      </c>
      <c r="G1150" s="431">
        <v>4.7300000000000004</v>
      </c>
      <c r="H1150" s="431">
        <v>5.17</v>
      </c>
      <c r="I1150" s="431">
        <v>5.69</v>
      </c>
      <c r="J1150" s="431">
        <v>5.94</v>
      </c>
      <c r="K1150" s="431">
        <v>6.03</v>
      </c>
      <c r="L1150" s="431">
        <v>5.66</v>
      </c>
      <c r="M1150" s="431">
        <v>4.96</v>
      </c>
      <c r="N1150" s="431">
        <v>4.6100000000000003</v>
      </c>
      <c r="O1150" s="431">
        <v>3.75</v>
      </c>
      <c r="P1150" s="431">
        <v>3.18</v>
      </c>
      <c r="Q1150" s="179">
        <f t="shared" si="33"/>
        <v>4.7333333333333334</v>
      </c>
      <c r="R1150" s="179" t="s">
        <v>958</v>
      </c>
    </row>
    <row r="1151" spans="1:18" x14ac:dyDescent="0.15">
      <c r="A1151" s="179" t="str">
        <f t="shared" si="32"/>
        <v>Matamoros_Optimal Summer_225</v>
      </c>
      <c r="B1151" s="501" t="s">
        <v>1151</v>
      </c>
      <c r="C1151" s="429">
        <v>11</v>
      </c>
      <c r="D1151" s="429">
        <v>225</v>
      </c>
      <c r="E1151" s="431">
        <v>3.14</v>
      </c>
      <c r="F1151" s="431">
        <v>3.76</v>
      </c>
      <c r="G1151" s="431">
        <v>4.6100000000000003</v>
      </c>
      <c r="H1151" s="431">
        <v>5.04</v>
      </c>
      <c r="I1151" s="431">
        <v>5.55</v>
      </c>
      <c r="J1151" s="431">
        <v>5.79</v>
      </c>
      <c r="K1151" s="431">
        <v>5.87</v>
      </c>
      <c r="L1151" s="431">
        <v>5.52</v>
      </c>
      <c r="M1151" s="431">
        <v>4.84</v>
      </c>
      <c r="N1151" s="431">
        <v>4.49</v>
      </c>
      <c r="O1151" s="431">
        <v>3.66</v>
      </c>
      <c r="P1151" s="431">
        <v>3.1</v>
      </c>
      <c r="Q1151" s="179">
        <f t="shared" si="33"/>
        <v>4.6141666666666676</v>
      </c>
      <c r="R1151" s="179" t="s">
        <v>958</v>
      </c>
    </row>
    <row r="1152" spans="1:18" x14ac:dyDescent="0.15">
      <c r="A1152" s="179" t="str">
        <f t="shared" si="32"/>
        <v>Matamoros_Optimal Summer_247.5</v>
      </c>
      <c r="B1152" s="501" t="s">
        <v>1151</v>
      </c>
      <c r="C1152" s="429">
        <v>11</v>
      </c>
      <c r="D1152" s="429">
        <v>247.5</v>
      </c>
      <c r="E1152" s="431">
        <v>2.89</v>
      </c>
      <c r="F1152" s="431">
        <v>3.46</v>
      </c>
      <c r="G1152" s="431">
        <v>4.24</v>
      </c>
      <c r="H1152" s="431">
        <v>4.6399999999999997</v>
      </c>
      <c r="I1152" s="431">
        <v>5.1100000000000003</v>
      </c>
      <c r="J1152" s="431">
        <v>5.33</v>
      </c>
      <c r="K1152" s="431">
        <v>5.41</v>
      </c>
      <c r="L1152" s="431">
        <v>5.08</v>
      </c>
      <c r="M1152" s="431">
        <v>4.45</v>
      </c>
      <c r="N1152" s="431">
        <v>4.1399999999999997</v>
      </c>
      <c r="O1152" s="431">
        <v>3.37</v>
      </c>
      <c r="P1152" s="431">
        <v>2.85</v>
      </c>
      <c r="Q1152" s="179">
        <f t="shared" si="33"/>
        <v>4.2475000000000005</v>
      </c>
      <c r="R1152" s="179" t="s">
        <v>958</v>
      </c>
    </row>
    <row r="1153" spans="1:18" x14ac:dyDescent="0.15">
      <c r="A1153" s="179" t="str">
        <f t="shared" si="32"/>
        <v>Matamoros_Optimal Summer_270</v>
      </c>
      <c r="B1153" s="501" t="s">
        <v>1151</v>
      </c>
      <c r="C1153" s="429">
        <v>11</v>
      </c>
      <c r="D1153" s="429">
        <v>270</v>
      </c>
      <c r="E1153" s="431">
        <v>2.64</v>
      </c>
      <c r="F1153" s="431">
        <v>3.17</v>
      </c>
      <c r="G1153" s="431">
        <v>3.88</v>
      </c>
      <c r="H1153" s="431">
        <v>4.24</v>
      </c>
      <c r="I1153" s="431">
        <v>4.67</v>
      </c>
      <c r="J1153" s="431">
        <v>4.87</v>
      </c>
      <c r="K1153" s="431">
        <v>4.9400000000000004</v>
      </c>
      <c r="L1153" s="431">
        <v>4.6500000000000004</v>
      </c>
      <c r="M1153" s="431">
        <v>4.07</v>
      </c>
      <c r="N1153" s="431">
        <v>3.78</v>
      </c>
      <c r="O1153" s="431">
        <v>3.08</v>
      </c>
      <c r="P1153" s="431">
        <v>2.61</v>
      </c>
      <c r="Q1153" s="179">
        <f t="shared" si="33"/>
        <v>3.8833333333333333</v>
      </c>
      <c r="R1153" s="179" t="s">
        <v>958</v>
      </c>
    </row>
    <row r="1154" spans="1:18" x14ac:dyDescent="0.15">
      <c r="A1154" s="179" t="str">
        <f t="shared" ref="A1154:A1217" si="34">B1154&amp;"_"&amp;R1154&amp;"_"&amp;D1154</f>
        <v>Matamoros_Optimal Year Round_90</v>
      </c>
      <c r="B1154" s="501" t="s">
        <v>1151</v>
      </c>
      <c r="C1154" s="429">
        <v>26</v>
      </c>
      <c r="D1154" s="429">
        <v>90</v>
      </c>
      <c r="E1154" s="431">
        <v>2.92</v>
      </c>
      <c r="F1154" s="431">
        <v>3.39</v>
      </c>
      <c r="G1154" s="431">
        <v>3.98</v>
      </c>
      <c r="H1154" s="431">
        <v>4.16</v>
      </c>
      <c r="I1154" s="431">
        <v>4.4000000000000004</v>
      </c>
      <c r="J1154" s="431">
        <v>4.5</v>
      </c>
      <c r="K1154" s="431">
        <v>4.59</v>
      </c>
      <c r="L1154" s="431">
        <v>4.46</v>
      </c>
      <c r="M1154" s="431">
        <v>4.1100000000000003</v>
      </c>
      <c r="N1154" s="431">
        <v>4.04</v>
      </c>
      <c r="O1154" s="431">
        <v>3.42</v>
      </c>
      <c r="P1154" s="431">
        <v>2.94</v>
      </c>
      <c r="Q1154" s="179">
        <f t="shared" ref="Q1154:Q1217" si="35">AVERAGE(E1154:P1154)</f>
        <v>3.9091666666666662</v>
      </c>
      <c r="R1154" s="179" t="s">
        <v>993</v>
      </c>
    </row>
    <row r="1155" spans="1:18" x14ac:dyDescent="0.15">
      <c r="A1155" s="179" t="str">
        <f t="shared" si="34"/>
        <v>Matamoros_Optimal Year Round_112.5</v>
      </c>
      <c r="B1155" s="501" t="s">
        <v>1151</v>
      </c>
      <c r="C1155" s="429">
        <v>26</v>
      </c>
      <c r="D1155" s="429">
        <v>112.5</v>
      </c>
      <c r="E1155" s="431">
        <v>3.19</v>
      </c>
      <c r="F1155" s="431">
        <v>3.71</v>
      </c>
      <c r="G1155" s="431">
        <v>4.3600000000000003</v>
      </c>
      <c r="H1155" s="431">
        <v>4.55</v>
      </c>
      <c r="I1155" s="431">
        <v>4.8099999999999996</v>
      </c>
      <c r="J1155" s="431">
        <v>4.92</v>
      </c>
      <c r="K1155" s="431">
        <v>5.0199999999999996</v>
      </c>
      <c r="L1155" s="431">
        <v>4.88</v>
      </c>
      <c r="M1155" s="431">
        <v>4.5</v>
      </c>
      <c r="N1155" s="431">
        <v>4.42</v>
      </c>
      <c r="O1155" s="431">
        <v>3.74</v>
      </c>
      <c r="P1155" s="431">
        <v>3.21</v>
      </c>
      <c r="Q1155" s="179">
        <f t="shared" si="35"/>
        <v>4.2758333333333338</v>
      </c>
      <c r="R1155" s="179" t="s">
        <v>993</v>
      </c>
    </row>
    <row r="1156" spans="1:18" x14ac:dyDescent="0.15">
      <c r="A1156" s="179" t="str">
        <f t="shared" si="34"/>
        <v>Matamoros_Optimal Year Round_135</v>
      </c>
      <c r="B1156" s="501" t="s">
        <v>1151</v>
      </c>
      <c r="C1156" s="429">
        <v>26</v>
      </c>
      <c r="D1156" s="429">
        <v>135</v>
      </c>
      <c r="E1156" s="431">
        <v>3.47</v>
      </c>
      <c r="F1156" s="431">
        <v>4.03</v>
      </c>
      <c r="G1156" s="431">
        <v>4.7300000000000004</v>
      </c>
      <c r="H1156" s="431">
        <v>4.9400000000000004</v>
      </c>
      <c r="I1156" s="431">
        <v>5.22</v>
      </c>
      <c r="J1156" s="431">
        <v>5.34</v>
      </c>
      <c r="K1156" s="431">
        <v>5.45</v>
      </c>
      <c r="L1156" s="431">
        <v>5.3</v>
      </c>
      <c r="M1156" s="431">
        <v>4.88</v>
      </c>
      <c r="N1156" s="431">
        <v>4.8</v>
      </c>
      <c r="O1156" s="431">
        <v>4.07</v>
      </c>
      <c r="P1156" s="431">
        <v>3.49</v>
      </c>
      <c r="Q1156" s="179">
        <f t="shared" si="35"/>
        <v>4.6433333333333335</v>
      </c>
      <c r="R1156" s="179" t="s">
        <v>993</v>
      </c>
    </row>
    <row r="1157" spans="1:18" x14ac:dyDescent="0.15">
      <c r="A1157" s="179" t="str">
        <f t="shared" si="34"/>
        <v>Matamoros_Optimal Year Round_157.5</v>
      </c>
      <c r="B1157" s="501" t="s">
        <v>1151</v>
      </c>
      <c r="C1157" s="429">
        <v>26</v>
      </c>
      <c r="D1157" s="429">
        <v>157.5</v>
      </c>
      <c r="E1157" s="431">
        <v>3.56</v>
      </c>
      <c r="F1157" s="431">
        <v>4.13</v>
      </c>
      <c r="G1157" s="431">
        <v>4.8600000000000003</v>
      </c>
      <c r="H1157" s="431">
        <v>5.07</v>
      </c>
      <c r="I1157" s="431">
        <v>5.36</v>
      </c>
      <c r="J1157" s="431">
        <v>5.48</v>
      </c>
      <c r="K1157" s="431">
        <v>5.6</v>
      </c>
      <c r="L1157" s="431">
        <v>5.44</v>
      </c>
      <c r="M1157" s="431">
        <v>5.01</v>
      </c>
      <c r="N1157" s="431">
        <v>4.92</v>
      </c>
      <c r="O1157" s="431">
        <v>4.17</v>
      </c>
      <c r="P1157" s="431">
        <v>3.58</v>
      </c>
      <c r="Q1157" s="179">
        <f t="shared" si="35"/>
        <v>4.7649999999999997</v>
      </c>
      <c r="R1157" s="179" t="s">
        <v>993</v>
      </c>
    </row>
    <row r="1158" spans="1:18" x14ac:dyDescent="0.15">
      <c r="A1158" s="179" t="str">
        <f t="shared" si="34"/>
        <v>Matamoros_Optimal Year Round_180</v>
      </c>
      <c r="B1158" s="501" t="s">
        <v>1151</v>
      </c>
      <c r="C1158" s="429">
        <v>26</v>
      </c>
      <c r="D1158" s="429">
        <v>180</v>
      </c>
      <c r="E1158" s="431">
        <v>3.65</v>
      </c>
      <c r="F1158" s="431">
        <v>4.24</v>
      </c>
      <c r="G1158" s="431">
        <v>4.9800000000000004</v>
      </c>
      <c r="H1158" s="431">
        <v>5.2</v>
      </c>
      <c r="I1158" s="431">
        <v>5.5</v>
      </c>
      <c r="J1158" s="431">
        <v>5.62</v>
      </c>
      <c r="K1158" s="431">
        <v>5.74</v>
      </c>
      <c r="L1158" s="431">
        <v>5.58</v>
      </c>
      <c r="M1158" s="431">
        <v>5.14</v>
      </c>
      <c r="N1158" s="431">
        <v>5.05</v>
      </c>
      <c r="O1158" s="431">
        <v>4.28</v>
      </c>
      <c r="P1158" s="431">
        <v>3.67</v>
      </c>
      <c r="Q1158" s="179">
        <f t="shared" si="35"/>
        <v>4.8875000000000002</v>
      </c>
      <c r="R1158" s="179" t="s">
        <v>993</v>
      </c>
    </row>
    <row r="1159" spans="1:18" x14ac:dyDescent="0.15">
      <c r="A1159" s="179" t="str">
        <f t="shared" si="34"/>
        <v>Matamoros_Optimal Year Round_202.5</v>
      </c>
      <c r="B1159" s="501" t="s">
        <v>1151</v>
      </c>
      <c r="C1159" s="429">
        <v>26</v>
      </c>
      <c r="D1159" s="429">
        <v>202.5</v>
      </c>
      <c r="E1159" s="431">
        <v>3.56</v>
      </c>
      <c r="F1159" s="431">
        <v>4.13</v>
      </c>
      <c r="G1159" s="431">
        <v>4.8600000000000003</v>
      </c>
      <c r="H1159" s="431">
        <v>5.07</v>
      </c>
      <c r="I1159" s="431">
        <v>5.36</v>
      </c>
      <c r="J1159" s="431">
        <v>5.48</v>
      </c>
      <c r="K1159" s="431">
        <v>5.6</v>
      </c>
      <c r="L1159" s="431">
        <v>5.44</v>
      </c>
      <c r="M1159" s="431">
        <v>5.01</v>
      </c>
      <c r="N1159" s="431">
        <v>4.92</v>
      </c>
      <c r="O1159" s="431">
        <v>4.17</v>
      </c>
      <c r="P1159" s="431">
        <v>3.58</v>
      </c>
      <c r="Q1159" s="179">
        <f t="shared" si="35"/>
        <v>4.7649999999999997</v>
      </c>
      <c r="R1159" s="179" t="s">
        <v>993</v>
      </c>
    </row>
    <row r="1160" spans="1:18" x14ac:dyDescent="0.15">
      <c r="A1160" s="179" t="str">
        <f t="shared" si="34"/>
        <v>Matamoros_Optimal Year Round_225</v>
      </c>
      <c r="B1160" s="501" t="s">
        <v>1151</v>
      </c>
      <c r="C1160" s="429">
        <v>26</v>
      </c>
      <c r="D1160" s="429">
        <v>225</v>
      </c>
      <c r="E1160" s="431">
        <v>3.47</v>
      </c>
      <c r="F1160" s="431">
        <v>4.03</v>
      </c>
      <c r="G1160" s="431">
        <v>4.7300000000000004</v>
      </c>
      <c r="H1160" s="431">
        <v>4.9400000000000004</v>
      </c>
      <c r="I1160" s="431">
        <v>5.22</v>
      </c>
      <c r="J1160" s="431">
        <v>5.34</v>
      </c>
      <c r="K1160" s="431">
        <v>5.45</v>
      </c>
      <c r="L1160" s="431">
        <v>5.3</v>
      </c>
      <c r="M1160" s="431">
        <v>4.88</v>
      </c>
      <c r="N1160" s="431">
        <v>4.8</v>
      </c>
      <c r="O1160" s="431">
        <v>4.07</v>
      </c>
      <c r="P1160" s="431">
        <v>3.49</v>
      </c>
      <c r="Q1160" s="179">
        <f t="shared" si="35"/>
        <v>4.6433333333333335</v>
      </c>
      <c r="R1160" s="179" t="s">
        <v>993</v>
      </c>
    </row>
    <row r="1161" spans="1:18" x14ac:dyDescent="0.15">
      <c r="A1161" s="179" t="str">
        <f t="shared" si="34"/>
        <v>Matamoros_Optimal Year Round_247.5</v>
      </c>
      <c r="B1161" s="501" t="s">
        <v>1151</v>
      </c>
      <c r="C1161" s="429">
        <v>26</v>
      </c>
      <c r="D1161" s="429">
        <v>247.5</v>
      </c>
      <c r="E1161" s="431">
        <v>3.19</v>
      </c>
      <c r="F1161" s="431">
        <v>3.71</v>
      </c>
      <c r="G1161" s="431">
        <v>4.3600000000000003</v>
      </c>
      <c r="H1161" s="431">
        <v>4.55</v>
      </c>
      <c r="I1161" s="431">
        <v>4.8099999999999996</v>
      </c>
      <c r="J1161" s="431">
        <v>4.92</v>
      </c>
      <c r="K1161" s="431">
        <v>5.0199999999999996</v>
      </c>
      <c r="L1161" s="431">
        <v>4.88</v>
      </c>
      <c r="M1161" s="431">
        <v>4.5</v>
      </c>
      <c r="N1161" s="431">
        <v>4.42</v>
      </c>
      <c r="O1161" s="431">
        <v>3.74</v>
      </c>
      <c r="P1161" s="431">
        <v>3.21</v>
      </c>
      <c r="Q1161" s="179">
        <f t="shared" si="35"/>
        <v>4.2758333333333338</v>
      </c>
      <c r="R1161" s="179" t="s">
        <v>993</v>
      </c>
    </row>
    <row r="1162" spans="1:18" x14ac:dyDescent="0.15">
      <c r="A1162" s="179" t="str">
        <f t="shared" si="34"/>
        <v>Matamoros_Optimal Year Round_270</v>
      </c>
      <c r="B1162" s="501" t="s">
        <v>1151</v>
      </c>
      <c r="C1162" s="429">
        <v>26</v>
      </c>
      <c r="D1162" s="429">
        <v>270</v>
      </c>
      <c r="E1162" s="431">
        <v>2.92</v>
      </c>
      <c r="F1162" s="431">
        <v>3.39</v>
      </c>
      <c r="G1162" s="431">
        <v>3.98</v>
      </c>
      <c r="H1162" s="431">
        <v>4.16</v>
      </c>
      <c r="I1162" s="431">
        <v>4.4000000000000004</v>
      </c>
      <c r="J1162" s="431">
        <v>4.5</v>
      </c>
      <c r="K1162" s="431">
        <v>4.59</v>
      </c>
      <c r="L1162" s="431">
        <v>4.46</v>
      </c>
      <c r="M1162" s="431">
        <v>4.1100000000000003</v>
      </c>
      <c r="N1162" s="431">
        <v>4.04</v>
      </c>
      <c r="O1162" s="431">
        <v>3.42</v>
      </c>
      <c r="P1162" s="431">
        <v>2.94</v>
      </c>
      <c r="Q1162" s="179">
        <f t="shared" si="35"/>
        <v>3.9091666666666662</v>
      </c>
      <c r="R1162" s="179" t="s">
        <v>993</v>
      </c>
    </row>
    <row r="1163" spans="1:18" x14ac:dyDescent="0.15">
      <c r="A1163" s="179" t="str">
        <f t="shared" si="34"/>
        <v>Mazatlan_Flat Surface_90</v>
      </c>
      <c r="B1163" s="501" t="s">
        <v>989</v>
      </c>
      <c r="C1163" s="429">
        <v>0</v>
      </c>
      <c r="D1163" s="429">
        <v>90</v>
      </c>
      <c r="E1163" s="431">
        <v>4.3</v>
      </c>
      <c r="F1163" s="431">
        <v>5.32</v>
      </c>
      <c r="G1163" s="431">
        <v>6.55</v>
      </c>
      <c r="H1163" s="431">
        <v>7.17</v>
      </c>
      <c r="I1163" s="431">
        <v>7.78</v>
      </c>
      <c r="J1163" s="431">
        <v>7.44</v>
      </c>
      <c r="K1163" s="431">
        <v>6.35</v>
      </c>
      <c r="L1163" s="431">
        <v>5.9</v>
      </c>
      <c r="M1163" s="431">
        <v>5.4</v>
      </c>
      <c r="N1163" s="431">
        <v>5.46</v>
      </c>
      <c r="O1163" s="431">
        <v>4.75</v>
      </c>
      <c r="P1163" s="431">
        <v>3.96</v>
      </c>
      <c r="Q1163" s="179">
        <f t="shared" si="35"/>
        <v>5.8649999999999993</v>
      </c>
      <c r="R1163" s="179" t="s">
        <v>994</v>
      </c>
    </row>
    <row r="1164" spans="1:18" x14ac:dyDescent="0.15">
      <c r="A1164" s="179" t="str">
        <f t="shared" si="34"/>
        <v>Mazatlan_Flat Surface_112.5</v>
      </c>
      <c r="B1164" s="501" t="s">
        <v>989</v>
      </c>
      <c r="C1164" s="429">
        <v>0</v>
      </c>
      <c r="D1164" s="429">
        <v>112.5</v>
      </c>
      <c r="E1164" s="431">
        <v>4.3</v>
      </c>
      <c r="F1164" s="431">
        <v>5.32</v>
      </c>
      <c r="G1164" s="431">
        <v>6.55</v>
      </c>
      <c r="H1164" s="431">
        <v>7.17</v>
      </c>
      <c r="I1164" s="431">
        <v>7.78</v>
      </c>
      <c r="J1164" s="431">
        <v>7.44</v>
      </c>
      <c r="K1164" s="431">
        <v>6.35</v>
      </c>
      <c r="L1164" s="431">
        <v>5.9</v>
      </c>
      <c r="M1164" s="431">
        <v>5.4</v>
      </c>
      <c r="N1164" s="431">
        <v>5.46</v>
      </c>
      <c r="O1164" s="431">
        <v>4.75</v>
      </c>
      <c r="P1164" s="431">
        <v>3.96</v>
      </c>
      <c r="Q1164" s="179">
        <f t="shared" si="35"/>
        <v>5.8649999999999993</v>
      </c>
      <c r="R1164" s="179" t="s">
        <v>994</v>
      </c>
    </row>
    <row r="1165" spans="1:18" x14ac:dyDescent="0.15">
      <c r="A1165" s="179" t="str">
        <f t="shared" si="34"/>
        <v>Mazatlan_Flat Surface_135</v>
      </c>
      <c r="B1165" s="501" t="s">
        <v>989</v>
      </c>
      <c r="C1165" s="429">
        <v>0</v>
      </c>
      <c r="D1165" s="429">
        <v>135</v>
      </c>
      <c r="E1165" s="431">
        <v>4.3</v>
      </c>
      <c r="F1165" s="431">
        <v>5.32</v>
      </c>
      <c r="G1165" s="431">
        <v>6.55</v>
      </c>
      <c r="H1165" s="431">
        <v>7.17</v>
      </c>
      <c r="I1165" s="431">
        <v>7.78</v>
      </c>
      <c r="J1165" s="431">
        <v>7.44</v>
      </c>
      <c r="K1165" s="431">
        <v>6.35</v>
      </c>
      <c r="L1165" s="431">
        <v>5.9</v>
      </c>
      <c r="M1165" s="431">
        <v>5.4</v>
      </c>
      <c r="N1165" s="431">
        <v>5.46</v>
      </c>
      <c r="O1165" s="431">
        <v>4.75</v>
      </c>
      <c r="P1165" s="431">
        <v>3.96</v>
      </c>
      <c r="Q1165" s="179">
        <f t="shared" si="35"/>
        <v>5.8649999999999993</v>
      </c>
      <c r="R1165" s="179" t="s">
        <v>994</v>
      </c>
    </row>
    <row r="1166" spans="1:18" x14ac:dyDescent="0.15">
      <c r="A1166" s="179" t="str">
        <f t="shared" si="34"/>
        <v>Mazatlan_Flat Surface_157.5</v>
      </c>
      <c r="B1166" s="501" t="s">
        <v>989</v>
      </c>
      <c r="C1166" s="429">
        <v>0</v>
      </c>
      <c r="D1166" s="429">
        <v>157.5</v>
      </c>
      <c r="E1166" s="431">
        <v>4.3</v>
      </c>
      <c r="F1166" s="431">
        <v>5.32</v>
      </c>
      <c r="G1166" s="431">
        <v>6.55</v>
      </c>
      <c r="H1166" s="431">
        <v>7.17</v>
      </c>
      <c r="I1166" s="431">
        <v>7.78</v>
      </c>
      <c r="J1166" s="431">
        <v>7.44</v>
      </c>
      <c r="K1166" s="431">
        <v>6.35</v>
      </c>
      <c r="L1166" s="431">
        <v>5.9</v>
      </c>
      <c r="M1166" s="431">
        <v>5.4</v>
      </c>
      <c r="N1166" s="431">
        <v>5.46</v>
      </c>
      <c r="O1166" s="431">
        <v>4.75</v>
      </c>
      <c r="P1166" s="431">
        <v>3.96</v>
      </c>
      <c r="Q1166" s="179">
        <f t="shared" si="35"/>
        <v>5.8649999999999993</v>
      </c>
      <c r="R1166" s="179" t="s">
        <v>994</v>
      </c>
    </row>
    <row r="1167" spans="1:18" x14ac:dyDescent="0.15">
      <c r="A1167" s="179" t="str">
        <f t="shared" si="34"/>
        <v>Mazatlan_Flat Surface_180</v>
      </c>
      <c r="B1167" s="501" t="s">
        <v>989</v>
      </c>
      <c r="C1167" s="429">
        <v>0</v>
      </c>
      <c r="D1167" s="429">
        <v>180</v>
      </c>
      <c r="E1167" s="431">
        <v>4.3</v>
      </c>
      <c r="F1167" s="431">
        <v>5.32</v>
      </c>
      <c r="G1167" s="431">
        <v>6.55</v>
      </c>
      <c r="H1167" s="431">
        <v>7.17</v>
      </c>
      <c r="I1167" s="431">
        <v>7.78</v>
      </c>
      <c r="J1167" s="431">
        <v>7.44</v>
      </c>
      <c r="K1167" s="431">
        <v>6.35</v>
      </c>
      <c r="L1167" s="431">
        <v>5.9</v>
      </c>
      <c r="M1167" s="431">
        <v>5.4</v>
      </c>
      <c r="N1167" s="431">
        <v>5.46</v>
      </c>
      <c r="O1167" s="431">
        <v>4.75</v>
      </c>
      <c r="P1167" s="431">
        <v>3.96</v>
      </c>
      <c r="Q1167" s="179">
        <f t="shared" si="35"/>
        <v>5.8649999999999993</v>
      </c>
      <c r="R1167" s="179" t="s">
        <v>994</v>
      </c>
    </row>
    <row r="1168" spans="1:18" x14ac:dyDescent="0.15">
      <c r="A1168" s="179" t="str">
        <f t="shared" si="34"/>
        <v>Mazatlan_Flat Surface_202.5</v>
      </c>
      <c r="B1168" s="501" t="s">
        <v>989</v>
      </c>
      <c r="C1168" s="429">
        <v>0</v>
      </c>
      <c r="D1168" s="429">
        <v>202.5</v>
      </c>
      <c r="E1168" s="431">
        <v>4.3</v>
      </c>
      <c r="F1168" s="431">
        <v>5.32</v>
      </c>
      <c r="G1168" s="431">
        <v>6.55</v>
      </c>
      <c r="H1168" s="431">
        <v>7.17</v>
      </c>
      <c r="I1168" s="431">
        <v>7.78</v>
      </c>
      <c r="J1168" s="431">
        <v>7.44</v>
      </c>
      <c r="K1168" s="431">
        <v>6.35</v>
      </c>
      <c r="L1168" s="431">
        <v>5.9</v>
      </c>
      <c r="M1168" s="431">
        <v>5.4</v>
      </c>
      <c r="N1168" s="431">
        <v>5.46</v>
      </c>
      <c r="O1168" s="431">
        <v>4.75</v>
      </c>
      <c r="P1168" s="431">
        <v>3.96</v>
      </c>
      <c r="Q1168" s="179">
        <f t="shared" si="35"/>
        <v>5.8649999999999993</v>
      </c>
      <c r="R1168" s="179" t="s">
        <v>994</v>
      </c>
    </row>
    <row r="1169" spans="1:18" x14ac:dyDescent="0.15">
      <c r="A1169" s="179" t="str">
        <f t="shared" si="34"/>
        <v>Mazatlan_Flat Surface_225</v>
      </c>
      <c r="B1169" s="501" t="s">
        <v>989</v>
      </c>
      <c r="C1169" s="429">
        <v>0</v>
      </c>
      <c r="D1169" s="429">
        <v>225</v>
      </c>
      <c r="E1169" s="431">
        <v>4.3</v>
      </c>
      <c r="F1169" s="431">
        <v>5.32</v>
      </c>
      <c r="G1169" s="431">
        <v>6.55</v>
      </c>
      <c r="H1169" s="431">
        <v>7.17</v>
      </c>
      <c r="I1169" s="431">
        <v>7.78</v>
      </c>
      <c r="J1169" s="431">
        <v>7.44</v>
      </c>
      <c r="K1169" s="431">
        <v>6.35</v>
      </c>
      <c r="L1169" s="431">
        <v>5.9</v>
      </c>
      <c r="M1169" s="431">
        <v>5.4</v>
      </c>
      <c r="N1169" s="431">
        <v>5.46</v>
      </c>
      <c r="O1169" s="431">
        <v>4.75</v>
      </c>
      <c r="P1169" s="431">
        <v>3.96</v>
      </c>
      <c r="Q1169" s="179">
        <f t="shared" si="35"/>
        <v>5.8649999999999993</v>
      </c>
      <c r="R1169" s="179" t="s">
        <v>994</v>
      </c>
    </row>
    <row r="1170" spans="1:18" x14ac:dyDescent="0.15">
      <c r="A1170" s="179" t="str">
        <f t="shared" si="34"/>
        <v>Mazatlan_Flat Surface_247.5</v>
      </c>
      <c r="B1170" s="501" t="s">
        <v>989</v>
      </c>
      <c r="C1170" s="429">
        <v>0</v>
      </c>
      <c r="D1170" s="429">
        <v>247.5</v>
      </c>
      <c r="E1170" s="431">
        <v>4.3</v>
      </c>
      <c r="F1170" s="431">
        <v>5.32</v>
      </c>
      <c r="G1170" s="431">
        <v>6.55</v>
      </c>
      <c r="H1170" s="431">
        <v>7.17</v>
      </c>
      <c r="I1170" s="431">
        <v>7.78</v>
      </c>
      <c r="J1170" s="431">
        <v>7.44</v>
      </c>
      <c r="K1170" s="431">
        <v>6.35</v>
      </c>
      <c r="L1170" s="431">
        <v>5.9</v>
      </c>
      <c r="M1170" s="431">
        <v>5.4</v>
      </c>
      <c r="N1170" s="431">
        <v>5.46</v>
      </c>
      <c r="O1170" s="431">
        <v>4.75</v>
      </c>
      <c r="P1170" s="431">
        <v>3.96</v>
      </c>
      <c r="Q1170" s="179">
        <f t="shared" si="35"/>
        <v>5.8649999999999993</v>
      </c>
      <c r="R1170" s="179" t="s">
        <v>994</v>
      </c>
    </row>
    <row r="1171" spans="1:18" x14ac:dyDescent="0.15">
      <c r="A1171" s="179" t="str">
        <f t="shared" si="34"/>
        <v>Mazatlan_Flat Surface_270</v>
      </c>
      <c r="B1171" s="501" t="s">
        <v>989</v>
      </c>
      <c r="C1171" s="429">
        <v>0</v>
      </c>
      <c r="D1171" s="429">
        <v>270</v>
      </c>
      <c r="E1171" s="431">
        <v>4.3</v>
      </c>
      <c r="F1171" s="431">
        <v>5.32</v>
      </c>
      <c r="G1171" s="431">
        <v>6.55</v>
      </c>
      <c r="H1171" s="431">
        <v>7.17</v>
      </c>
      <c r="I1171" s="431">
        <v>7.78</v>
      </c>
      <c r="J1171" s="431">
        <v>7.44</v>
      </c>
      <c r="K1171" s="431">
        <v>6.35</v>
      </c>
      <c r="L1171" s="431">
        <v>5.9</v>
      </c>
      <c r="M1171" s="431">
        <v>5.4</v>
      </c>
      <c r="N1171" s="431">
        <v>5.46</v>
      </c>
      <c r="O1171" s="431">
        <v>4.75</v>
      </c>
      <c r="P1171" s="431">
        <v>3.96</v>
      </c>
      <c r="Q1171" s="179">
        <f t="shared" si="35"/>
        <v>5.8649999999999993</v>
      </c>
      <c r="R1171" s="179" t="s">
        <v>994</v>
      </c>
    </row>
    <row r="1172" spans="1:18" x14ac:dyDescent="0.15">
      <c r="A1172" s="179" t="str">
        <f t="shared" si="34"/>
        <v>Mazatlan_Optimal Summer_90</v>
      </c>
      <c r="B1172" s="501" t="s">
        <v>989</v>
      </c>
      <c r="C1172" s="429">
        <v>8</v>
      </c>
      <c r="D1172" s="429">
        <v>90</v>
      </c>
      <c r="E1172" s="431">
        <v>3.83</v>
      </c>
      <c r="F1172" s="431">
        <v>4.62</v>
      </c>
      <c r="G1172" s="431">
        <v>5.5</v>
      </c>
      <c r="H1172" s="431">
        <v>5.81</v>
      </c>
      <c r="I1172" s="431">
        <v>6.12</v>
      </c>
      <c r="J1172" s="431">
        <v>5.79</v>
      </c>
      <c r="K1172" s="431">
        <v>4.9800000000000004</v>
      </c>
      <c r="L1172" s="431">
        <v>4.72</v>
      </c>
      <c r="M1172" s="431">
        <v>4.43</v>
      </c>
      <c r="N1172" s="431">
        <v>4.67</v>
      </c>
      <c r="O1172" s="431">
        <v>4.24</v>
      </c>
      <c r="P1172" s="431">
        <v>3.5</v>
      </c>
      <c r="Q1172" s="179">
        <f t="shared" si="35"/>
        <v>4.8508333333333331</v>
      </c>
      <c r="R1172" s="179" t="s">
        <v>958</v>
      </c>
    </row>
    <row r="1173" spans="1:18" x14ac:dyDescent="0.15">
      <c r="A1173" s="179" t="str">
        <f t="shared" si="34"/>
        <v>Mazatlan_Optimal Summer_112.5</v>
      </c>
      <c r="B1173" s="501" t="s">
        <v>989</v>
      </c>
      <c r="C1173" s="429">
        <v>8</v>
      </c>
      <c r="D1173" s="429">
        <v>112.5</v>
      </c>
      <c r="E1173" s="431">
        <v>4.1900000000000004</v>
      </c>
      <c r="F1173" s="431">
        <v>5.05</v>
      </c>
      <c r="G1173" s="431">
        <v>6.01</v>
      </c>
      <c r="H1173" s="431">
        <v>6.35</v>
      </c>
      <c r="I1173" s="431">
        <v>6.69</v>
      </c>
      <c r="J1173" s="431">
        <v>6.34</v>
      </c>
      <c r="K1173" s="431">
        <v>5.45</v>
      </c>
      <c r="L1173" s="431">
        <v>5.16</v>
      </c>
      <c r="M1173" s="431">
        <v>4.8499999999999996</v>
      </c>
      <c r="N1173" s="431">
        <v>5.1100000000000003</v>
      </c>
      <c r="O1173" s="431">
        <v>4.6399999999999997</v>
      </c>
      <c r="P1173" s="431">
        <v>3.88</v>
      </c>
      <c r="Q1173" s="179">
        <f t="shared" si="35"/>
        <v>5.3100000000000014</v>
      </c>
      <c r="R1173" s="179" t="s">
        <v>958</v>
      </c>
    </row>
    <row r="1174" spans="1:18" x14ac:dyDescent="0.15">
      <c r="A1174" s="179" t="str">
        <f t="shared" si="34"/>
        <v>Mazatlan_Optimal Summer_135</v>
      </c>
      <c r="B1174" s="501" t="s">
        <v>989</v>
      </c>
      <c r="C1174" s="429">
        <v>8</v>
      </c>
      <c r="D1174" s="429">
        <v>135</v>
      </c>
      <c r="E1174" s="431">
        <v>4.55</v>
      </c>
      <c r="F1174" s="431">
        <v>5.48</v>
      </c>
      <c r="G1174" s="431">
        <v>6.53</v>
      </c>
      <c r="H1174" s="431">
        <v>6.9</v>
      </c>
      <c r="I1174" s="431">
        <v>7.27</v>
      </c>
      <c r="J1174" s="431">
        <v>6.88</v>
      </c>
      <c r="K1174" s="431">
        <v>5.92</v>
      </c>
      <c r="L1174" s="431">
        <v>5.6</v>
      </c>
      <c r="M1174" s="431">
        <v>5.26</v>
      </c>
      <c r="N1174" s="431">
        <v>5.55</v>
      </c>
      <c r="O1174" s="431">
        <v>5.04</v>
      </c>
      <c r="P1174" s="431">
        <v>4.21</v>
      </c>
      <c r="Q1174" s="179">
        <f t="shared" si="35"/>
        <v>5.7658333333333331</v>
      </c>
      <c r="R1174" s="179" t="s">
        <v>958</v>
      </c>
    </row>
    <row r="1175" spans="1:18" x14ac:dyDescent="0.15">
      <c r="A1175" s="179" t="str">
        <f t="shared" si="34"/>
        <v>Mazatlan_Optimal Summer_157.5</v>
      </c>
      <c r="B1175" s="501" t="s">
        <v>989</v>
      </c>
      <c r="C1175" s="429">
        <v>8</v>
      </c>
      <c r="D1175" s="429">
        <v>157.5</v>
      </c>
      <c r="E1175" s="431">
        <v>4.67</v>
      </c>
      <c r="F1175" s="431">
        <v>5.63</v>
      </c>
      <c r="G1175" s="431">
        <v>6.7</v>
      </c>
      <c r="H1175" s="431">
        <v>7.08</v>
      </c>
      <c r="I1175" s="431">
        <v>7.46</v>
      </c>
      <c r="J1175" s="431">
        <v>7.06</v>
      </c>
      <c r="K1175" s="431">
        <v>6.07</v>
      </c>
      <c r="L1175" s="431">
        <v>5.75</v>
      </c>
      <c r="M1175" s="431">
        <v>5.4</v>
      </c>
      <c r="N1175" s="431">
        <v>5.69</v>
      </c>
      <c r="O1175" s="431">
        <v>5.17</v>
      </c>
      <c r="P1175" s="431">
        <v>4.32</v>
      </c>
      <c r="Q1175" s="179">
        <f t="shared" si="35"/>
        <v>5.916666666666667</v>
      </c>
      <c r="R1175" s="179" t="s">
        <v>958</v>
      </c>
    </row>
    <row r="1176" spans="1:18" x14ac:dyDescent="0.15">
      <c r="A1176" s="179" t="str">
        <f t="shared" si="34"/>
        <v>Mazatlan_Optimal Summer_180</v>
      </c>
      <c r="B1176" s="501" t="s">
        <v>989</v>
      </c>
      <c r="C1176" s="429">
        <v>8</v>
      </c>
      <c r="D1176" s="429">
        <v>180</v>
      </c>
      <c r="E1176" s="431">
        <v>4.79</v>
      </c>
      <c r="F1176" s="431">
        <v>5.77</v>
      </c>
      <c r="G1176" s="431">
        <v>6.87</v>
      </c>
      <c r="H1176" s="431">
        <v>7.26</v>
      </c>
      <c r="I1176" s="431">
        <v>7.65</v>
      </c>
      <c r="J1176" s="431">
        <v>7.24</v>
      </c>
      <c r="K1176" s="431">
        <v>6.23</v>
      </c>
      <c r="L1176" s="431">
        <v>5.9</v>
      </c>
      <c r="M1176" s="431">
        <v>5.54</v>
      </c>
      <c r="N1176" s="431">
        <v>5.84</v>
      </c>
      <c r="O1176" s="431">
        <v>5.3</v>
      </c>
      <c r="P1176" s="431">
        <v>4.43</v>
      </c>
      <c r="Q1176" s="179">
        <f t="shared" si="35"/>
        <v>6.0683333333333325</v>
      </c>
      <c r="R1176" s="179" t="s">
        <v>958</v>
      </c>
    </row>
    <row r="1177" spans="1:18" x14ac:dyDescent="0.15">
      <c r="A1177" s="179" t="str">
        <f t="shared" si="34"/>
        <v>Mazatlan_Optimal Summer_202.5</v>
      </c>
      <c r="B1177" s="501" t="s">
        <v>989</v>
      </c>
      <c r="C1177" s="429">
        <v>8</v>
      </c>
      <c r="D1177" s="429">
        <v>202.5</v>
      </c>
      <c r="E1177" s="431">
        <v>4.67</v>
      </c>
      <c r="F1177" s="431">
        <v>5.63</v>
      </c>
      <c r="G1177" s="431">
        <v>6.7</v>
      </c>
      <c r="H1177" s="431">
        <v>7.08</v>
      </c>
      <c r="I1177" s="431">
        <v>7.46</v>
      </c>
      <c r="J1177" s="431">
        <v>7.06</v>
      </c>
      <c r="K1177" s="431">
        <v>6.07</v>
      </c>
      <c r="L1177" s="431">
        <v>5.75</v>
      </c>
      <c r="M1177" s="431">
        <v>5.4</v>
      </c>
      <c r="N1177" s="431">
        <v>5.69</v>
      </c>
      <c r="O1177" s="431">
        <v>5.17</v>
      </c>
      <c r="P1177" s="431">
        <v>4.32</v>
      </c>
      <c r="Q1177" s="179">
        <f t="shared" si="35"/>
        <v>5.916666666666667</v>
      </c>
      <c r="R1177" s="179" t="s">
        <v>958</v>
      </c>
    </row>
    <row r="1178" spans="1:18" x14ac:dyDescent="0.15">
      <c r="A1178" s="179" t="str">
        <f t="shared" si="34"/>
        <v>Mazatlan_Optimal Summer_225</v>
      </c>
      <c r="B1178" s="501" t="s">
        <v>989</v>
      </c>
      <c r="C1178" s="429">
        <v>8</v>
      </c>
      <c r="D1178" s="429">
        <v>225</v>
      </c>
      <c r="E1178" s="431">
        <v>4.55</v>
      </c>
      <c r="F1178" s="431">
        <v>5.48</v>
      </c>
      <c r="G1178" s="431">
        <v>6.53</v>
      </c>
      <c r="H1178" s="431">
        <v>6.9</v>
      </c>
      <c r="I1178" s="431">
        <v>7.27</v>
      </c>
      <c r="J1178" s="431">
        <v>6.88</v>
      </c>
      <c r="K1178" s="431">
        <v>5.92</v>
      </c>
      <c r="L1178" s="431">
        <v>5.6</v>
      </c>
      <c r="M1178" s="431">
        <v>5.26</v>
      </c>
      <c r="N1178" s="431">
        <v>5.55</v>
      </c>
      <c r="O1178" s="431">
        <v>5.04</v>
      </c>
      <c r="P1178" s="431">
        <v>4.21</v>
      </c>
      <c r="Q1178" s="179">
        <f t="shared" si="35"/>
        <v>5.7658333333333331</v>
      </c>
      <c r="R1178" s="179" t="s">
        <v>958</v>
      </c>
    </row>
    <row r="1179" spans="1:18" x14ac:dyDescent="0.15">
      <c r="A1179" s="179" t="str">
        <f t="shared" si="34"/>
        <v>Mazatlan_Optimal Summer_247.5</v>
      </c>
      <c r="B1179" s="501" t="s">
        <v>989</v>
      </c>
      <c r="C1179" s="429">
        <v>8</v>
      </c>
      <c r="D1179" s="429">
        <v>247.5</v>
      </c>
      <c r="E1179" s="431">
        <v>4.1900000000000004</v>
      </c>
      <c r="F1179" s="431">
        <v>5.05</v>
      </c>
      <c r="G1179" s="431">
        <v>6.01</v>
      </c>
      <c r="H1179" s="431">
        <v>6.35</v>
      </c>
      <c r="I1179" s="431">
        <v>6.69</v>
      </c>
      <c r="J1179" s="431">
        <v>6.34</v>
      </c>
      <c r="K1179" s="431">
        <v>5.45</v>
      </c>
      <c r="L1179" s="431">
        <v>5.16</v>
      </c>
      <c r="M1179" s="431">
        <v>4.8499999999999996</v>
      </c>
      <c r="N1179" s="431">
        <v>5.1100000000000003</v>
      </c>
      <c r="O1179" s="431">
        <v>4.6399999999999997</v>
      </c>
      <c r="P1179" s="431">
        <v>3.88</v>
      </c>
      <c r="Q1179" s="179">
        <f t="shared" si="35"/>
        <v>5.3100000000000014</v>
      </c>
      <c r="R1179" s="179" t="s">
        <v>958</v>
      </c>
    </row>
    <row r="1180" spans="1:18" x14ac:dyDescent="0.15">
      <c r="A1180" s="179" t="str">
        <f t="shared" si="34"/>
        <v>Mazatlan_Optimal Summer_270</v>
      </c>
      <c r="B1180" s="501" t="s">
        <v>989</v>
      </c>
      <c r="C1180" s="429">
        <v>8</v>
      </c>
      <c r="D1180" s="429">
        <v>270</v>
      </c>
      <c r="E1180" s="431">
        <v>3.83</v>
      </c>
      <c r="F1180" s="431">
        <v>4.62</v>
      </c>
      <c r="G1180" s="431">
        <v>5.5</v>
      </c>
      <c r="H1180" s="431">
        <v>5.81</v>
      </c>
      <c r="I1180" s="431">
        <v>6.12</v>
      </c>
      <c r="J1180" s="431">
        <v>5.79</v>
      </c>
      <c r="K1180" s="431">
        <v>4.9800000000000004</v>
      </c>
      <c r="L1180" s="431">
        <v>4.72</v>
      </c>
      <c r="M1180" s="431">
        <v>4.43</v>
      </c>
      <c r="N1180" s="431">
        <v>4.67</v>
      </c>
      <c r="O1180" s="431">
        <v>4.24</v>
      </c>
      <c r="P1180" s="431">
        <v>3.5</v>
      </c>
      <c r="Q1180" s="179">
        <f t="shared" si="35"/>
        <v>4.8508333333333331</v>
      </c>
      <c r="R1180" s="179" t="s">
        <v>958</v>
      </c>
    </row>
    <row r="1181" spans="1:18" x14ac:dyDescent="0.15">
      <c r="A1181" s="179" t="str">
        <f t="shared" si="34"/>
        <v>Mazatlan_Optimal Year Round_90</v>
      </c>
      <c r="B1181" s="501" t="s">
        <v>989</v>
      </c>
      <c r="C1181" s="429">
        <v>23</v>
      </c>
      <c r="D1181" s="429">
        <v>90</v>
      </c>
      <c r="E1181" s="431">
        <v>4.3899999999999997</v>
      </c>
      <c r="F1181" s="431">
        <v>5.09</v>
      </c>
      <c r="G1181" s="431">
        <v>5.73</v>
      </c>
      <c r="H1181" s="431">
        <v>5.7</v>
      </c>
      <c r="I1181" s="431">
        <v>5.68</v>
      </c>
      <c r="J1181" s="431">
        <v>5.27</v>
      </c>
      <c r="K1181" s="431">
        <v>4.62</v>
      </c>
      <c r="L1181" s="431">
        <v>4.55</v>
      </c>
      <c r="M1181" s="431">
        <v>4.4800000000000004</v>
      </c>
      <c r="N1181" s="431">
        <v>5.05</v>
      </c>
      <c r="O1181" s="431">
        <v>4.8600000000000003</v>
      </c>
      <c r="P1181" s="431">
        <v>4.0999999999999996</v>
      </c>
      <c r="Q1181" s="179">
        <f t="shared" si="35"/>
        <v>4.9599999999999991</v>
      </c>
      <c r="R1181" s="179" t="s">
        <v>993</v>
      </c>
    </row>
    <row r="1182" spans="1:18" x14ac:dyDescent="0.15">
      <c r="A1182" s="179" t="str">
        <f t="shared" si="34"/>
        <v>Mazatlan_Optimal Year Round_112.5</v>
      </c>
      <c r="B1182" s="501" t="s">
        <v>989</v>
      </c>
      <c r="C1182" s="429">
        <v>23</v>
      </c>
      <c r="D1182" s="429">
        <v>112.5</v>
      </c>
      <c r="E1182" s="431">
        <v>4.8</v>
      </c>
      <c r="F1182" s="431">
        <v>5.56</v>
      </c>
      <c r="G1182" s="431">
        <v>6.26</v>
      </c>
      <c r="H1182" s="431">
        <v>6.23</v>
      </c>
      <c r="I1182" s="431">
        <v>6.21</v>
      </c>
      <c r="J1182" s="431">
        <v>5.77</v>
      </c>
      <c r="K1182" s="431">
        <v>5.0599999999999996</v>
      </c>
      <c r="L1182" s="431">
        <v>4.9800000000000004</v>
      </c>
      <c r="M1182" s="431">
        <v>4.9000000000000004</v>
      </c>
      <c r="N1182" s="431">
        <v>5.52</v>
      </c>
      <c r="O1182" s="431">
        <v>5.32</v>
      </c>
      <c r="P1182" s="431">
        <v>4.49</v>
      </c>
      <c r="Q1182" s="179">
        <f t="shared" si="35"/>
        <v>5.4250000000000007</v>
      </c>
      <c r="R1182" s="179" t="s">
        <v>993</v>
      </c>
    </row>
    <row r="1183" spans="1:18" x14ac:dyDescent="0.15">
      <c r="A1183" s="179" t="str">
        <f t="shared" si="34"/>
        <v>Mazatlan_Optimal Year Round_135</v>
      </c>
      <c r="B1183" s="501" t="s">
        <v>989</v>
      </c>
      <c r="C1183" s="429">
        <v>23</v>
      </c>
      <c r="D1183" s="429">
        <v>135</v>
      </c>
      <c r="E1183" s="431">
        <v>5.22</v>
      </c>
      <c r="F1183" s="431">
        <v>6.04</v>
      </c>
      <c r="G1183" s="431">
        <v>6.8</v>
      </c>
      <c r="H1183" s="431">
        <v>6.76</v>
      </c>
      <c r="I1183" s="431">
        <v>6.74</v>
      </c>
      <c r="J1183" s="431">
        <v>6.26</v>
      </c>
      <c r="K1183" s="431">
        <v>5.49</v>
      </c>
      <c r="L1183" s="431">
        <v>5.41</v>
      </c>
      <c r="M1183" s="431">
        <v>5.32</v>
      </c>
      <c r="N1183" s="431">
        <v>5.99</v>
      </c>
      <c r="O1183" s="431">
        <v>5.78</v>
      </c>
      <c r="P1183" s="431">
        <v>4.87</v>
      </c>
      <c r="Q1183" s="179">
        <f t="shared" si="35"/>
        <v>5.8900000000000006</v>
      </c>
      <c r="R1183" s="179" t="s">
        <v>993</v>
      </c>
    </row>
    <row r="1184" spans="1:18" x14ac:dyDescent="0.15">
      <c r="A1184" s="179" t="str">
        <f t="shared" si="34"/>
        <v>Mazatlan_Optimal Year Round_157.5</v>
      </c>
      <c r="B1184" s="501" t="s">
        <v>989</v>
      </c>
      <c r="C1184" s="429">
        <v>23</v>
      </c>
      <c r="D1184" s="429">
        <v>157.5</v>
      </c>
      <c r="E1184" s="431">
        <v>5.35</v>
      </c>
      <c r="F1184" s="431">
        <v>6.2</v>
      </c>
      <c r="G1184" s="431">
        <v>6.98</v>
      </c>
      <c r="H1184" s="431">
        <v>6.94</v>
      </c>
      <c r="I1184" s="431">
        <v>6.92</v>
      </c>
      <c r="J1184" s="431">
        <v>6.43</v>
      </c>
      <c r="K1184" s="431">
        <v>5.64</v>
      </c>
      <c r="L1184" s="431">
        <v>5.55</v>
      </c>
      <c r="M1184" s="431">
        <v>5.46</v>
      </c>
      <c r="N1184" s="431">
        <v>6.15</v>
      </c>
      <c r="O1184" s="431">
        <v>5.93</v>
      </c>
      <c r="P1184" s="431">
        <v>5</v>
      </c>
      <c r="Q1184" s="179">
        <f t="shared" si="35"/>
        <v>6.0458333333333334</v>
      </c>
      <c r="R1184" s="179" t="s">
        <v>993</v>
      </c>
    </row>
    <row r="1185" spans="1:18" x14ac:dyDescent="0.15">
      <c r="A1185" s="179" t="str">
        <f t="shared" si="34"/>
        <v>Mazatlan_Optimal Year Round_180</v>
      </c>
      <c r="B1185" s="501" t="s">
        <v>989</v>
      </c>
      <c r="C1185" s="429">
        <v>23</v>
      </c>
      <c r="D1185" s="429">
        <v>180</v>
      </c>
      <c r="E1185" s="431">
        <v>5.49</v>
      </c>
      <c r="F1185" s="431">
        <v>6.36</v>
      </c>
      <c r="G1185" s="431">
        <v>7.16</v>
      </c>
      <c r="H1185" s="431">
        <v>7.12</v>
      </c>
      <c r="I1185" s="431">
        <v>7.1</v>
      </c>
      <c r="J1185" s="431">
        <v>6.59</v>
      </c>
      <c r="K1185" s="431">
        <v>5.78</v>
      </c>
      <c r="L1185" s="431">
        <v>5.69</v>
      </c>
      <c r="M1185" s="431">
        <v>5.6</v>
      </c>
      <c r="N1185" s="431">
        <v>6.31</v>
      </c>
      <c r="O1185" s="431">
        <v>6.08</v>
      </c>
      <c r="P1185" s="431">
        <v>5.13</v>
      </c>
      <c r="Q1185" s="179">
        <f t="shared" si="35"/>
        <v>6.2008333333333345</v>
      </c>
      <c r="R1185" s="179" t="s">
        <v>993</v>
      </c>
    </row>
    <row r="1186" spans="1:18" x14ac:dyDescent="0.15">
      <c r="A1186" s="179" t="str">
        <f t="shared" si="34"/>
        <v>Mazatlan_Optimal Year Round_202.5</v>
      </c>
      <c r="B1186" s="501" t="s">
        <v>989</v>
      </c>
      <c r="C1186" s="429">
        <v>23</v>
      </c>
      <c r="D1186" s="429">
        <v>202.5</v>
      </c>
      <c r="E1186" s="431">
        <v>5.35</v>
      </c>
      <c r="F1186" s="431">
        <v>6.2</v>
      </c>
      <c r="G1186" s="431">
        <v>6.98</v>
      </c>
      <c r="H1186" s="431">
        <v>6.94</v>
      </c>
      <c r="I1186" s="431">
        <v>6.92</v>
      </c>
      <c r="J1186" s="431">
        <v>6.43</v>
      </c>
      <c r="K1186" s="431">
        <v>5.64</v>
      </c>
      <c r="L1186" s="431">
        <v>5.55</v>
      </c>
      <c r="M1186" s="431">
        <v>5.46</v>
      </c>
      <c r="N1186" s="431">
        <v>6.15</v>
      </c>
      <c r="O1186" s="431">
        <v>5.93</v>
      </c>
      <c r="P1186" s="431">
        <v>5</v>
      </c>
      <c r="Q1186" s="179">
        <f t="shared" si="35"/>
        <v>6.0458333333333334</v>
      </c>
      <c r="R1186" s="179" t="s">
        <v>993</v>
      </c>
    </row>
    <row r="1187" spans="1:18" x14ac:dyDescent="0.15">
      <c r="A1187" s="179" t="str">
        <f t="shared" si="34"/>
        <v>Mazatlan_Optimal Year Round_225</v>
      </c>
      <c r="B1187" s="501" t="s">
        <v>989</v>
      </c>
      <c r="C1187" s="429">
        <v>23</v>
      </c>
      <c r="D1187" s="429">
        <v>225</v>
      </c>
      <c r="E1187" s="431">
        <v>5.22</v>
      </c>
      <c r="F1187" s="431">
        <v>6.04</v>
      </c>
      <c r="G1187" s="431">
        <v>6.8</v>
      </c>
      <c r="H1187" s="431">
        <v>6.76</v>
      </c>
      <c r="I1187" s="431">
        <v>6.74</v>
      </c>
      <c r="J1187" s="431">
        <v>6.26</v>
      </c>
      <c r="K1187" s="431">
        <v>5.49</v>
      </c>
      <c r="L1187" s="431">
        <v>5.41</v>
      </c>
      <c r="M1187" s="431">
        <v>5.32</v>
      </c>
      <c r="N1187" s="431">
        <v>5.99</v>
      </c>
      <c r="O1187" s="431">
        <v>5.78</v>
      </c>
      <c r="P1187" s="431">
        <v>4.87</v>
      </c>
      <c r="Q1187" s="179">
        <f t="shared" si="35"/>
        <v>5.8900000000000006</v>
      </c>
      <c r="R1187" s="179" t="s">
        <v>993</v>
      </c>
    </row>
    <row r="1188" spans="1:18" x14ac:dyDescent="0.15">
      <c r="A1188" s="179" t="str">
        <f t="shared" si="34"/>
        <v>Mazatlan_Optimal Year Round_247.5</v>
      </c>
      <c r="B1188" s="501" t="s">
        <v>989</v>
      </c>
      <c r="C1188" s="429">
        <v>23</v>
      </c>
      <c r="D1188" s="429">
        <v>247.5</v>
      </c>
      <c r="E1188" s="431">
        <v>4.8</v>
      </c>
      <c r="F1188" s="431">
        <v>5.56</v>
      </c>
      <c r="G1188" s="431">
        <v>6.26</v>
      </c>
      <c r="H1188" s="431">
        <v>6.23</v>
      </c>
      <c r="I1188" s="431">
        <v>6.21</v>
      </c>
      <c r="J1188" s="431">
        <v>5.77</v>
      </c>
      <c r="K1188" s="431">
        <v>5.0599999999999996</v>
      </c>
      <c r="L1188" s="431">
        <v>4.9800000000000004</v>
      </c>
      <c r="M1188" s="431">
        <v>4.9000000000000004</v>
      </c>
      <c r="N1188" s="431">
        <v>5.52</v>
      </c>
      <c r="O1188" s="431">
        <v>5.32</v>
      </c>
      <c r="P1188" s="431">
        <v>4.49</v>
      </c>
      <c r="Q1188" s="179">
        <f t="shared" si="35"/>
        <v>5.4250000000000007</v>
      </c>
      <c r="R1188" s="179" t="s">
        <v>993</v>
      </c>
    </row>
    <row r="1189" spans="1:18" x14ac:dyDescent="0.15">
      <c r="A1189" s="179" t="str">
        <f t="shared" si="34"/>
        <v>Mazatlan_Optimal Year Round_270</v>
      </c>
      <c r="B1189" s="501" t="s">
        <v>989</v>
      </c>
      <c r="C1189" s="429">
        <v>23</v>
      </c>
      <c r="D1189" s="429">
        <v>270</v>
      </c>
      <c r="E1189" s="431">
        <v>4.3899999999999997</v>
      </c>
      <c r="F1189" s="431">
        <v>5.09</v>
      </c>
      <c r="G1189" s="431">
        <v>5.73</v>
      </c>
      <c r="H1189" s="431">
        <v>5.7</v>
      </c>
      <c r="I1189" s="431">
        <v>5.68</v>
      </c>
      <c r="J1189" s="431">
        <v>5.27</v>
      </c>
      <c r="K1189" s="431">
        <v>4.62</v>
      </c>
      <c r="L1189" s="431">
        <v>4.55</v>
      </c>
      <c r="M1189" s="431">
        <v>4.4800000000000004</v>
      </c>
      <c r="N1189" s="431">
        <v>5.05</v>
      </c>
      <c r="O1189" s="431">
        <v>4.8600000000000003</v>
      </c>
      <c r="P1189" s="431">
        <v>4.0999999999999996</v>
      </c>
      <c r="Q1189" s="179">
        <f t="shared" si="35"/>
        <v>4.9599999999999991</v>
      </c>
      <c r="R1189" s="179" t="s">
        <v>993</v>
      </c>
    </row>
    <row r="1190" spans="1:18" x14ac:dyDescent="0.15">
      <c r="A1190" s="179" t="str">
        <f t="shared" si="34"/>
        <v>Merida_Flat Surface_90</v>
      </c>
      <c r="B1190" s="501" t="s">
        <v>990</v>
      </c>
      <c r="C1190" s="429">
        <v>0</v>
      </c>
      <c r="D1190" s="429">
        <v>90</v>
      </c>
      <c r="E1190" s="431">
        <v>4.34</v>
      </c>
      <c r="F1190" s="431">
        <v>5.35</v>
      </c>
      <c r="G1190" s="431">
        <v>6.24</v>
      </c>
      <c r="H1190" s="431">
        <v>6.87</v>
      </c>
      <c r="I1190" s="431">
        <v>7.31</v>
      </c>
      <c r="J1190" s="431">
        <v>6.94</v>
      </c>
      <c r="K1190" s="431">
        <v>7.15</v>
      </c>
      <c r="L1190" s="431">
        <v>6.84</v>
      </c>
      <c r="M1190" s="431">
        <v>6.16</v>
      </c>
      <c r="N1190" s="431">
        <v>5.34</v>
      </c>
      <c r="O1190" s="431">
        <v>4.68</v>
      </c>
      <c r="P1190" s="431">
        <v>4</v>
      </c>
      <c r="Q1190" s="179">
        <f t="shared" si="35"/>
        <v>5.9349999999999996</v>
      </c>
      <c r="R1190" s="179" t="s">
        <v>994</v>
      </c>
    </row>
    <row r="1191" spans="1:18" x14ac:dyDescent="0.15">
      <c r="A1191" s="179" t="str">
        <f t="shared" si="34"/>
        <v>Merida_Flat Surface_112.5</v>
      </c>
      <c r="B1191" s="501" t="s">
        <v>990</v>
      </c>
      <c r="C1191" s="429">
        <v>0</v>
      </c>
      <c r="D1191" s="429">
        <v>112.5</v>
      </c>
      <c r="E1191" s="431">
        <v>4.34</v>
      </c>
      <c r="F1191" s="431">
        <v>5.35</v>
      </c>
      <c r="G1191" s="431">
        <v>6.24</v>
      </c>
      <c r="H1191" s="431">
        <v>6.87</v>
      </c>
      <c r="I1191" s="431">
        <v>7.31</v>
      </c>
      <c r="J1191" s="431">
        <v>6.94</v>
      </c>
      <c r="K1191" s="431">
        <v>7.15</v>
      </c>
      <c r="L1191" s="431">
        <v>6.84</v>
      </c>
      <c r="M1191" s="431">
        <v>6.16</v>
      </c>
      <c r="N1191" s="431">
        <v>5.34</v>
      </c>
      <c r="O1191" s="431">
        <v>4.68</v>
      </c>
      <c r="P1191" s="431">
        <v>4</v>
      </c>
      <c r="Q1191" s="179">
        <f t="shared" si="35"/>
        <v>5.9349999999999996</v>
      </c>
      <c r="R1191" s="179" t="s">
        <v>994</v>
      </c>
    </row>
    <row r="1192" spans="1:18" x14ac:dyDescent="0.15">
      <c r="A1192" s="179" t="str">
        <f t="shared" si="34"/>
        <v>Merida_Flat Surface_135</v>
      </c>
      <c r="B1192" s="501" t="s">
        <v>990</v>
      </c>
      <c r="C1192" s="429">
        <v>0</v>
      </c>
      <c r="D1192" s="429">
        <v>135</v>
      </c>
      <c r="E1192" s="431">
        <v>4.34</v>
      </c>
      <c r="F1192" s="431">
        <v>5.35</v>
      </c>
      <c r="G1192" s="431">
        <v>6.24</v>
      </c>
      <c r="H1192" s="431">
        <v>6.87</v>
      </c>
      <c r="I1192" s="431">
        <v>7.31</v>
      </c>
      <c r="J1192" s="431">
        <v>6.94</v>
      </c>
      <c r="K1192" s="431">
        <v>7.15</v>
      </c>
      <c r="L1192" s="431">
        <v>6.84</v>
      </c>
      <c r="M1192" s="431">
        <v>6.16</v>
      </c>
      <c r="N1192" s="431">
        <v>5.34</v>
      </c>
      <c r="O1192" s="431">
        <v>4.68</v>
      </c>
      <c r="P1192" s="431">
        <v>4</v>
      </c>
      <c r="Q1192" s="179">
        <f t="shared" si="35"/>
        <v>5.9349999999999996</v>
      </c>
      <c r="R1192" s="179" t="s">
        <v>994</v>
      </c>
    </row>
    <row r="1193" spans="1:18" x14ac:dyDescent="0.15">
      <c r="A1193" s="179" t="str">
        <f t="shared" si="34"/>
        <v>Merida_Flat Surface_157.5</v>
      </c>
      <c r="B1193" s="501" t="s">
        <v>990</v>
      </c>
      <c r="C1193" s="429">
        <v>0</v>
      </c>
      <c r="D1193" s="429">
        <v>157.5</v>
      </c>
      <c r="E1193" s="431">
        <v>4.34</v>
      </c>
      <c r="F1193" s="431">
        <v>5.35</v>
      </c>
      <c r="G1193" s="431">
        <v>6.24</v>
      </c>
      <c r="H1193" s="431">
        <v>6.87</v>
      </c>
      <c r="I1193" s="431">
        <v>7.31</v>
      </c>
      <c r="J1193" s="431">
        <v>6.94</v>
      </c>
      <c r="K1193" s="431">
        <v>7.15</v>
      </c>
      <c r="L1193" s="431">
        <v>6.84</v>
      </c>
      <c r="M1193" s="431">
        <v>6.16</v>
      </c>
      <c r="N1193" s="431">
        <v>5.34</v>
      </c>
      <c r="O1193" s="431">
        <v>4.68</v>
      </c>
      <c r="P1193" s="431">
        <v>4</v>
      </c>
      <c r="Q1193" s="179">
        <f t="shared" si="35"/>
        <v>5.9349999999999996</v>
      </c>
      <c r="R1193" s="179" t="s">
        <v>994</v>
      </c>
    </row>
    <row r="1194" spans="1:18" x14ac:dyDescent="0.15">
      <c r="A1194" s="179" t="str">
        <f t="shared" si="34"/>
        <v>Merida_Flat Surface_180</v>
      </c>
      <c r="B1194" s="501" t="s">
        <v>990</v>
      </c>
      <c r="C1194" s="429">
        <v>0</v>
      </c>
      <c r="D1194" s="429">
        <v>180</v>
      </c>
      <c r="E1194" s="431">
        <v>4.34</v>
      </c>
      <c r="F1194" s="431">
        <v>5.35</v>
      </c>
      <c r="G1194" s="431">
        <v>6.24</v>
      </c>
      <c r="H1194" s="431">
        <v>6.87</v>
      </c>
      <c r="I1194" s="431">
        <v>7.31</v>
      </c>
      <c r="J1194" s="431">
        <v>6.94</v>
      </c>
      <c r="K1194" s="431">
        <v>7.15</v>
      </c>
      <c r="L1194" s="431">
        <v>6.84</v>
      </c>
      <c r="M1194" s="431">
        <v>6.16</v>
      </c>
      <c r="N1194" s="431">
        <v>5.34</v>
      </c>
      <c r="O1194" s="431">
        <v>4.68</v>
      </c>
      <c r="P1194" s="431">
        <v>4</v>
      </c>
      <c r="Q1194" s="179">
        <f t="shared" si="35"/>
        <v>5.9349999999999996</v>
      </c>
      <c r="R1194" s="179" t="s">
        <v>994</v>
      </c>
    </row>
    <row r="1195" spans="1:18" x14ac:dyDescent="0.15">
      <c r="A1195" s="179" t="str">
        <f t="shared" si="34"/>
        <v>Merida_Flat Surface_202.5</v>
      </c>
      <c r="B1195" s="501" t="s">
        <v>990</v>
      </c>
      <c r="C1195" s="429">
        <v>0</v>
      </c>
      <c r="D1195" s="429">
        <v>202.5</v>
      </c>
      <c r="E1195" s="431">
        <v>4.34</v>
      </c>
      <c r="F1195" s="431">
        <v>5.35</v>
      </c>
      <c r="G1195" s="431">
        <v>6.24</v>
      </c>
      <c r="H1195" s="431">
        <v>6.87</v>
      </c>
      <c r="I1195" s="431">
        <v>7.31</v>
      </c>
      <c r="J1195" s="431">
        <v>6.94</v>
      </c>
      <c r="K1195" s="431">
        <v>7.15</v>
      </c>
      <c r="L1195" s="431">
        <v>6.84</v>
      </c>
      <c r="M1195" s="431">
        <v>6.16</v>
      </c>
      <c r="N1195" s="431">
        <v>5.34</v>
      </c>
      <c r="O1195" s="431">
        <v>4.68</v>
      </c>
      <c r="P1195" s="431">
        <v>4</v>
      </c>
      <c r="Q1195" s="179">
        <f t="shared" si="35"/>
        <v>5.9349999999999996</v>
      </c>
      <c r="R1195" s="179" t="s">
        <v>994</v>
      </c>
    </row>
    <row r="1196" spans="1:18" x14ac:dyDescent="0.15">
      <c r="A1196" s="179" t="str">
        <f t="shared" si="34"/>
        <v>Merida_Flat Surface_225</v>
      </c>
      <c r="B1196" s="501" t="s">
        <v>990</v>
      </c>
      <c r="C1196" s="429">
        <v>0</v>
      </c>
      <c r="D1196" s="429">
        <v>225</v>
      </c>
      <c r="E1196" s="431">
        <v>4.34</v>
      </c>
      <c r="F1196" s="431">
        <v>5.35</v>
      </c>
      <c r="G1196" s="431">
        <v>6.24</v>
      </c>
      <c r="H1196" s="431">
        <v>6.87</v>
      </c>
      <c r="I1196" s="431">
        <v>7.31</v>
      </c>
      <c r="J1196" s="431">
        <v>6.94</v>
      </c>
      <c r="K1196" s="431">
        <v>7.15</v>
      </c>
      <c r="L1196" s="431">
        <v>6.84</v>
      </c>
      <c r="M1196" s="431">
        <v>6.16</v>
      </c>
      <c r="N1196" s="431">
        <v>5.34</v>
      </c>
      <c r="O1196" s="431">
        <v>4.68</v>
      </c>
      <c r="P1196" s="431">
        <v>4</v>
      </c>
      <c r="Q1196" s="179">
        <f t="shared" si="35"/>
        <v>5.9349999999999996</v>
      </c>
      <c r="R1196" s="179" t="s">
        <v>994</v>
      </c>
    </row>
    <row r="1197" spans="1:18" x14ac:dyDescent="0.15">
      <c r="A1197" s="179" t="str">
        <f t="shared" si="34"/>
        <v>Merida_Flat Surface_247.5</v>
      </c>
      <c r="B1197" s="501" t="s">
        <v>990</v>
      </c>
      <c r="C1197" s="429">
        <v>0</v>
      </c>
      <c r="D1197" s="429">
        <v>247.5</v>
      </c>
      <c r="E1197" s="431">
        <v>4.34</v>
      </c>
      <c r="F1197" s="431">
        <v>5.35</v>
      </c>
      <c r="G1197" s="431">
        <v>6.24</v>
      </c>
      <c r="H1197" s="431">
        <v>6.87</v>
      </c>
      <c r="I1197" s="431">
        <v>7.31</v>
      </c>
      <c r="J1197" s="431">
        <v>6.94</v>
      </c>
      <c r="K1197" s="431">
        <v>7.15</v>
      </c>
      <c r="L1197" s="431">
        <v>6.84</v>
      </c>
      <c r="M1197" s="431">
        <v>6.16</v>
      </c>
      <c r="N1197" s="431">
        <v>5.34</v>
      </c>
      <c r="O1197" s="431">
        <v>4.68</v>
      </c>
      <c r="P1197" s="431">
        <v>4</v>
      </c>
      <c r="Q1197" s="179">
        <f t="shared" si="35"/>
        <v>5.9349999999999996</v>
      </c>
      <c r="R1197" s="179" t="s">
        <v>994</v>
      </c>
    </row>
    <row r="1198" spans="1:18" x14ac:dyDescent="0.15">
      <c r="A1198" s="179" t="str">
        <f t="shared" si="34"/>
        <v>Merida_Flat Surface_270</v>
      </c>
      <c r="B1198" s="501" t="s">
        <v>990</v>
      </c>
      <c r="C1198" s="429">
        <v>0</v>
      </c>
      <c r="D1198" s="429">
        <v>270</v>
      </c>
      <c r="E1198" s="431">
        <v>4.34</v>
      </c>
      <c r="F1198" s="431">
        <v>5.35</v>
      </c>
      <c r="G1198" s="431">
        <v>6.24</v>
      </c>
      <c r="H1198" s="431">
        <v>6.87</v>
      </c>
      <c r="I1198" s="431">
        <v>7.31</v>
      </c>
      <c r="J1198" s="431">
        <v>6.94</v>
      </c>
      <c r="K1198" s="431">
        <v>7.15</v>
      </c>
      <c r="L1198" s="431">
        <v>6.84</v>
      </c>
      <c r="M1198" s="431">
        <v>6.16</v>
      </c>
      <c r="N1198" s="431">
        <v>5.34</v>
      </c>
      <c r="O1198" s="431">
        <v>4.68</v>
      </c>
      <c r="P1198" s="431">
        <v>4</v>
      </c>
      <c r="Q1198" s="179">
        <f t="shared" si="35"/>
        <v>5.9349999999999996</v>
      </c>
      <c r="R1198" s="179" t="s">
        <v>994</v>
      </c>
    </row>
    <row r="1199" spans="1:18" x14ac:dyDescent="0.15">
      <c r="A1199" s="179" t="str">
        <f t="shared" si="34"/>
        <v>Merida_Optimal Summer_90</v>
      </c>
      <c r="B1199" s="501" t="s">
        <v>990</v>
      </c>
      <c r="C1199" s="429">
        <v>6</v>
      </c>
      <c r="D1199" s="429">
        <v>90</v>
      </c>
      <c r="E1199" s="431">
        <v>3.74</v>
      </c>
      <c r="F1199" s="431">
        <v>4.53</v>
      </c>
      <c r="G1199" s="431">
        <v>5.14</v>
      </c>
      <c r="H1199" s="431">
        <v>5.54</v>
      </c>
      <c r="I1199" s="431">
        <v>5.78</v>
      </c>
      <c r="J1199" s="431">
        <v>5.61</v>
      </c>
      <c r="K1199" s="431">
        <v>5.77</v>
      </c>
      <c r="L1199" s="431">
        <v>5.47</v>
      </c>
      <c r="M1199" s="431">
        <v>5.03</v>
      </c>
      <c r="N1199" s="431">
        <v>4.47</v>
      </c>
      <c r="O1199" s="431">
        <v>4.03</v>
      </c>
      <c r="P1199" s="431">
        <v>3.46</v>
      </c>
      <c r="Q1199" s="179">
        <f t="shared" si="35"/>
        <v>4.8808333333333334</v>
      </c>
      <c r="R1199" s="179" t="s">
        <v>958</v>
      </c>
    </row>
    <row r="1200" spans="1:18" x14ac:dyDescent="0.15">
      <c r="A1200" s="179" t="str">
        <f t="shared" si="34"/>
        <v>Merida_Optimal Summer_112.5</v>
      </c>
      <c r="B1200" s="501" t="s">
        <v>990</v>
      </c>
      <c r="C1200" s="429">
        <v>6</v>
      </c>
      <c r="D1200" s="429">
        <v>112.5</v>
      </c>
      <c r="E1200" s="431">
        <v>4.0999999999999996</v>
      </c>
      <c r="F1200" s="431">
        <v>4.95</v>
      </c>
      <c r="G1200" s="431">
        <v>5.63</v>
      </c>
      <c r="H1200" s="431">
        <v>6.06</v>
      </c>
      <c r="I1200" s="431">
        <v>6.32</v>
      </c>
      <c r="J1200" s="431">
        <v>6.13</v>
      </c>
      <c r="K1200" s="431">
        <v>6.31</v>
      </c>
      <c r="L1200" s="431">
        <v>5.98</v>
      </c>
      <c r="M1200" s="431">
        <v>5.5</v>
      </c>
      <c r="N1200" s="431">
        <v>4.8899999999999997</v>
      </c>
      <c r="O1200" s="431">
        <v>4.41</v>
      </c>
      <c r="P1200" s="431">
        <v>3.79</v>
      </c>
      <c r="Q1200" s="179">
        <f t="shared" si="35"/>
        <v>5.3391666666666673</v>
      </c>
      <c r="R1200" s="179" t="s">
        <v>958</v>
      </c>
    </row>
    <row r="1201" spans="1:18" x14ac:dyDescent="0.15">
      <c r="A1201" s="179" t="str">
        <f t="shared" si="34"/>
        <v>Merida_Optimal Summer_135</v>
      </c>
      <c r="B1201" s="501" t="s">
        <v>990</v>
      </c>
      <c r="C1201" s="429">
        <v>6</v>
      </c>
      <c r="D1201" s="429">
        <v>135</v>
      </c>
      <c r="E1201" s="431">
        <v>4.45</v>
      </c>
      <c r="F1201" s="431">
        <v>5.38</v>
      </c>
      <c r="G1201" s="431">
        <v>6.11</v>
      </c>
      <c r="H1201" s="431">
        <v>6.57</v>
      </c>
      <c r="I1201" s="431">
        <v>6.86</v>
      </c>
      <c r="J1201" s="431">
        <v>6.66</v>
      </c>
      <c r="K1201" s="431">
        <v>6.85</v>
      </c>
      <c r="L1201" s="431">
        <v>6.5</v>
      </c>
      <c r="M1201" s="431">
        <v>5.98</v>
      </c>
      <c r="N1201" s="431">
        <v>5.31</v>
      </c>
      <c r="O1201" s="431">
        <v>4.79</v>
      </c>
      <c r="P1201" s="431">
        <v>4.1100000000000003</v>
      </c>
      <c r="Q1201" s="179">
        <f t="shared" si="35"/>
        <v>5.7975000000000003</v>
      </c>
      <c r="R1201" s="179" t="s">
        <v>958</v>
      </c>
    </row>
    <row r="1202" spans="1:18" x14ac:dyDescent="0.15">
      <c r="A1202" s="179" t="str">
        <f t="shared" si="34"/>
        <v>Merida_Optimal Summer_157.5</v>
      </c>
      <c r="B1202" s="501" t="s">
        <v>990</v>
      </c>
      <c r="C1202" s="429">
        <v>6</v>
      </c>
      <c r="D1202" s="429">
        <v>157.5</v>
      </c>
      <c r="E1202" s="431">
        <v>4.5599999999999996</v>
      </c>
      <c r="F1202" s="431">
        <v>5.52</v>
      </c>
      <c r="G1202" s="431">
        <v>6.27</v>
      </c>
      <c r="H1202" s="431">
        <v>6.75</v>
      </c>
      <c r="I1202" s="431">
        <v>7.04</v>
      </c>
      <c r="J1202" s="431">
        <v>6.83</v>
      </c>
      <c r="K1202" s="431">
        <v>7.03</v>
      </c>
      <c r="L1202" s="431">
        <v>6.67</v>
      </c>
      <c r="M1202" s="431">
        <v>6.13</v>
      </c>
      <c r="N1202" s="431">
        <v>5.45</v>
      </c>
      <c r="O1202" s="431">
        <v>4.91</v>
      </c>
      <c r="P1202" s="431">
        <v>4.22</v>
      </c>
      <c r="Q1202" s="179">
        <f t="shared" si="35"/>
        <v>5.9483333333333341</v>
      </c>
      <c r="R1202" s="179" t="s">
        <v>958</v>
      </c>
    </row>
    <row r="1203" spans="1:18" x14ac:dyDescent="0.15">
      <c r="A1203" s="179" t="str">
        <f t="shared" si="34"/>
        <v>Merida_Optimal Summer_180</v>
      </c>
      <c r="B1203" s="501" t="s">
        <v>990</v>
      </c>
      <c r="C1203" s="429">
        <v>6</v>
      </c>
      <c r="D1203" s="429">
        <v>180</v>
      </c>
      <c r="E1203" s="431">
        <v>4.68</v>
      </c>
      <c r="F1203" s="431">
        <v>5.66</v>
      </c>
      <c r="G1203" s="431">
        <v>6.43</v>
      </c>
      <c r="H1203" s="431">
        <v>6.92</v>
      </c>
      <c r="I1203" s="431">
        <v>7.22</v>
      </c>
      <c r="J1203" s="431">
        <v>7.01</v>
      </c>
      <c r="K1203" s="431">
        <v>7.21</v>
      </c>
      <c r="L1203" s="431">
        <v>6.84</v>
      </c>
      <c r="M1203" s="431">
        <v>6.29</v>
      </c>
      <c r="N1203" s="431">
        <v>5.59</v>
      </c>
      <c r="O1203" s="431">
        <v>5.04</v>
      </c>
      <c r="P1203" s="431">
        <v>4.33</v>
      </c>
      <c r="Q1203" s="179">
        <f t="shared" si="35"/>
        <v>6.1016666666666666</v>
      </c>
      <c r="R1203" s="179" t="s">
        <v>958</v>
      </c>
    </row>
    <row r="1204" spans="1:18" x14ac:dyDescent="0.15">
      <c r="A1204" s="179" t="str">
        <f t="shared" si="34"/>
        <v>Merida_Optimal Summer_202.5</v>
      </c>
      <c r="B1204" s="501" t="s">
        <v>990</v>
      </c>
      <c r="C1204" s="429">
        <v>6</v>
      </c>
      <c r="D1204" s="429">
        <v>202.5</v>
      </c>
      <c r="E1204" s="431">
        <v>4.5599999999999996</v>
      </c>
      <c r="F1204" s="431">
        <v>5.52</v>
      </c>
      <c r="G1204" s="431">
        <v>6.27</v>
      </c>
      <c r="H1204" s="431">
        <v>6.75</v>
      </c>
      <c r="I1204" s="431">
        <v>7.04</v>
      </c>
      <c r="J1204" s="431">
        <v>6.83</v>
      </c>
      <c r="K1204" s="431">
        <v>7.03</v>
      </c>
      <c r="L1204" s="431">
        <v>6.67</v>
      </c>
      <c r="M1204" s="431">
        <v>6.13</v>
      </c>
      <c r="N1204" s="431">
        <v>5.45</v>
      </c>
      <c r="O1204" s="431">
        <v>4.91</v>
      </c>
      <c r="P1204" s="431">
        <v>4.22</v>
      </c>
      <c r="Q1204" s="179">
        <f t="shared" si="35"/>
        <v>5.9483333333333341</v>
      </c>
      <c r="R1204" s="179" t="s">
        <v>958</v>
      </c>
    </row>
    <row r="1205" spans="1:18" x14ac:dyDescent="0.15">
      <c r="A1205" s="179" t="str">
        <f t="shared" si="34"/>
        <v>Merida_Optimal Summer_225</v>
      </c>
      <c r="B1205" s="501" t="s">
        <v>990</v>
      </c>
      <c r="C1205" s="429">
        <v>6</v>
      </c>
      <c r="D1205" s="429">
        <v>225</v>
      </c>
      <c r="E1205" s="431">
        <v>4.45</v>
      </c>
      <c r="F1205" s="431">
        <v>5.38</v>
      </c>
      <c r="G1205" s="431">
        <v>6.11</v>
      </c>
      <c r="H1205" s="431">
        <v>6.57</v>
      </c>
      <c r="I1205" s="431">
        <v>6.86</v>
      </c>
      <c r="J1205" s="431">
        <v>6.66</v>
      </c>
      <c r="K1205" s="431">
        <v>6.85</v>
      </c>
      <c r="L1205" s="431">
        <v>6.5</v>
      </c>
      <c r="M1205" s="431">
        <v>5.98</v>
      </c>
      <c r="N1205" s="431">
        <v>5.31</v>
      </c>
      <c r="O1205" s="431">
        <v>4.79</v>
      </c>
      <c r="P1205" s="431">
        <v>4.1100000000000003</v>
      </c>
      <c r="Q1205" s="179">
        <f t="shared" si="35"/>
        <v>5.7975000000000003</v>
      </c>
      <c r="R1205" s="179" t="s">
        <v>958</v>
      </c>
    </row>
    <row r="1206" spans="1:18" x14ac:dyDescent="0.15">
      <c r="A1206" s="179" t="str">
        <f t="shared" si="34"/>
        <v>Merida_Optimal Summer_247.5</v>
      </c>
      <c r="B1206" s="501" t="s">
        <v>990</v>
      </c>
      <c r="C1206" s="429">
        <v>6</v>
      </c>
      <c r="D1206" s="429">
        <v>247.5</v>
      </c>
      <c r="E1206" s="431">
        <v>4.0999999999999996</v>
      </c>
      <c r="F1206" s="431">
        <v>4.95</v>
      </c>
      <c r="G1206" s="431">
        <v>5.63</v>
      </c>
      <c r="H1206" s="431">
        <v>6.06</v>
      </c>
      <c r="I1206" s="431">
        <v>6.32</v>
      </c>
      <c r="J1206" s="431">
        <v>6.13</v>
      </c>
      <c r="K1206" s="431">
        <v>6.31</v>
      </c>
      <c r="L1206" s="431">
        <v>5.98</v>
      </c>
      <c r="M1206" s="431">
        <v>5.5</v>
      </c>
      <c r="N1206" s="431">
        <v>4.8899999999999997</v>
      </c>
      <c r="O1206" s="431">
        <v>4.41</v>
      </c>
      <c r="P1206" s="431">
        <v>3.79</v>
      </c>
      <c r="Q1206" s="179">
        <f t="shared" si="35"/>
        <v>5.3391666666666673</v>
      </c>
      <c r="R1206" s="179" t="s">
        <v>958</v>
      </c>
    </row>
    <row r="1207" spans="1:18" x14ac:dyDescent="0.15">
      <c r="A1207" s="179" t="str">
        <f t="shared" si="34"/>
        <v>Merida_Optimal Summer_270</v>
      </c>
      <c r="B1207" s="501" t="s">
        <v>990</v>
      </c>
      <c r="C1207" s="429">
        <v>6</v>
      </c>
      <c r="D1207" s="429">
        <v>270</v>
      </c>
      <c r="E1207" s="431">
        <v>3.74</v>
      </c>
      <c r="F1207" s="431">
        <v>4.53</v>
      </c>
      <c r="G1207" s="431">
        <v>5.14</v>
      </c>
      <c r="H1207" s="431">
        <v>5.54</v>
      </c>
      <c r="I1207" s="431">
        <v>5.78</v>
      </c>
      <c r="J1207" s="431">
        <v>5.61</v>
      </c>
      <c r="K1207" s="431">
        <v>5.77</v>
      </c>
      <c r="L1207" s="431">
        <v>5.47</v>
      </c>
      <c r="M1207" s="431">
        <v>5.03</v>
      </c>
      <c r="N1207" s="431">
        <v>4.47</v>
      </c>
      <c r="O1207" s="431">
        <v>4.03</v>
      </c>
      <c r="P1207" s="431">
        <v>3.46</v>
      </c>
      <c r="Q1207" s="179">
        <f t="shared" si="35"/>
        <v>4.8808333333333334</v>
      </c>
      <c r="R1207" s="179" t="s">
        <v>958</v>
      </c>
    </row>
    <row r="1208" spans="1:18" x14ac:dyDescent="0.15">
      <c r="A1208" s="179" t="str">
        <f t="shared" si="34"/>
        <v>Merida_Optimal Year Round_90</v>
      </c>
      <c r="B1208" s="501" t="s">
        <v>990</v>
      </c>
      <c r="C1208" s="429">
        <v>21</v>
      </c>
      <c r="D1208" s="429">
        <v>90</v>
      </c>
      <c r="E1208" s="431">
        <v>4.26</v>
      </c>
      <c r="F1208" s="431">
        <v>4.9800000000000004</v>
      </c>
      <c r="G1208" s="431">
        <v>5.34</v>
      </c>
      <c r="H1208" s="431">
        <v>5.42</v>
      </c>
      <c r="I1208" s="431">
        <v>5.37</v>
      </c>
      <c r="J1208" s="431">
        <v>5.56</v>
      </c>
      <c r="K1208" s="431">
        <v>5.68</v>
      </c>
      <c r="L1208" s="431">
        <v>5.26</v>
      </c>
      <c r="M1208" s="431">
        <v>5.0999999999999996</v>
      </c>
      <c r="N1208" s="431">
        <v>4.8</v>
      </c>
      <c r="O1208" s="431">
        <v>4.58</v>
      </c>
      <c r="P1208" s="431">
        <v>3.98</v>
      </c>
      <c r="Q1208" s="179">
        <f t="shared" si="35"/>
        <v>5.027499999999999</v>
      </c>
      <c r="R1208" s="179" t="s">
        <v>993</v>
      </c>
    </row>
    <row r="1209" spans="1:18" x14ac:dyDescent="0.15">
      <c r="A1209" s="179" t="str">
        <f t="shared" si="34"/>
        <v>Merida_Optimal Year Round_112.5</v>
      </c>
      <c r="B1209" s="501" t="s">
        <v>990</v>
      </c>
      <c r="C1209" s="429">
        <v>21</v>
      </c>
      <c r="D1209" s="429">
        <v>112.5</v>
      </c>
      <c r="E1209" s="431">
        <v>4.66</v>
      </c>
      <c r="F1209" s="431">
        <v>5.44</v>
      </c>
      <c r="G1209" s="431">
        <v>5.84</v>
      </c>
      <c r="H1209" s="431">
        <v>5.93</v>
      </c>
      <c r="I1209" s="431">
        <v>5.87</v>
      </c>
      <c r="J1209" s="431">
        <v>6.08</v>
      </c>
      <c r="K1209" s="431">
        <v>6.21</v>
      </c>
      <c r="L1209" s="431">
        <v>5.76</v>
      </c>
      <c r="M1209" s="431">
        <v>5.57</v>
      </c>
      <c r="N1209" s="431">
        <v>5.25</v>
      </c>
      <c r="O1209" s="431">
        <v>5.01</v>
      </c>
      <c r="P1209" s="431">
        <v>4.3600000000000003</v>
      </c>
      <c r="Q1209" s="179">
        <f t="shared" si="35"/>
        <v>5.498333333333334</v>
      </c>
      <c r="R1209" s="179" t="s">
        <v>993</v>
      </c>
    </row>
    <row r="1210" spans="1:18" x14ac:dyDescent="0.15">
      <c r="A1210" s="179" t="str">
        <f t="shared" si="34"/>
        <v>Merida_Optimal Year Round_135</v>
      </c>
      <c r="B1210" s="501" t="s">
        <v>990</v>
      </c>
      <c r="C1210" s="429">
        <v>21</v>
      </c>
      <c r="D1210" s="429">
        <v>135</v>
      </c>
      <c r="E1210" s="431">
        <v>5.0599999999999996</v>
      </c>
      <c r="F1210" s="431">
        <v>5.91</v>
      </c>
      <c r="G1210" s="431">
        <v>6.35</v>
      </c>
      <c r="H1210" s="431">
        <v>6.44</v>
      </c>
      <c r="I1210" s="431">
        <v>6.37</v>
      </c>
      <c r="J1210" s="431">
        <v>6.6</v>
      </c>
      <c r="K1210" s="431">
        <v>6.74</v>
      </c>
      <c r="L1210" s="431">
        <v>6.25</v>
      </c>
      <c r="M1210" s="431">
        <v>6.05</v>
      </c>
      <c r="N1210" s="431">
        <v>5.7</v>
      </c>
      <c r="O1210" s="431">
        <v>5.44</v>
      </c>
      <c r="P1210" s="431">
        <v>4.7300000000000004</v>
      </c>
      <c r="Q1210" s="179">
        <f t="shared" si="35"/>
        <v>5.9700000000000015</v>
      </c>
      <c r="R1210" s="179" t="s">
        <v>993</v>
      </c>
    </row>
    <row r="1211" spans="1:18" x14ac:dyDescent="0.15">
      <c r="A1211" s="179" t="str">
        <f t="shared" si="34"/>
        <v>Merida_Optimal Year Round_157.5</v>
      </c>
      <c r="B1211" s="501" t="s">
        <v>990</v>
      </c>
      <c r="C1211" s="429">
        <v>21</v>
      </c>
      <c r="D1211" s="429">
        <v>157.5</v>
      </c>
      <c r="E1211" s="431">
        <v>5.2</v>
      </c>
      <c r="F1211" s="431">
        <v>6.06</v>
      </c>
      <c r="G1211" s="431">
        <v>6.51</v>
      </c>
      <c r="H1211" s="431">
        <v>6.61</v>
      </c>
      <c r="I1211" s="431">
        <v>6.54</v>
      </c>
      <c r="J1211" s="431">
        <v>6.78</v>
      </c>
      <c r="K1211" s="431">
        <v>6.92</v>
      </c>
      <c r="L1211" s="431">
        <v>6.42</v>
      </c>
      <c r="M1211" s="431">
        <v>6.21</v>
      </c>
      <c r="N1211" s="431">
        <v>5.85</v>
      </c>
      <c r="O1211" s="431">
        <v>5.59</v>
      </c>
      <c r="P1211" s="431">
        <v>4.8600000000000003</v>
      </c>
      <c r="Q1211" s="179">
        <f t="shared" si="35"/>
        <v>6.1291666666666664</v>
      </c>
      <c r="R1211" s="179" t="s">
        <v>993</v>
      </c>
    </row>
    <row r="1212" spans="1:18" x14ac:dyDescent="0.15">
      <c r="A1212" s="179" t="str">
        <f t="shared" si="34"/>
        <v>Merida_Optimal Year Round_180</v>
      </c>
      <c r="B1212" s="501" t="s">
        <v>990</v>
      </c>
      <c r="C1212" s="429">
        <v>21</v>
      </c>
      <c r="D1212" s="429">
        <v>180</v>
      </c>
      <c r="E1212" s="431">
        <v>5.33</v>
      </c>
      <c r="F1212" s="431">
        <v>6.22</v>
      </c>
      <c r="G1212" s="431">
        <v>6.68</v>
      </c>
      <c r="H1212" s="431">
        <v>6.78</v>
      </c>
      <c r="I1212" s="431">
        <v>6.71</v>
      </c>
      <c r="J1212" s="431">
        <v>6.95</v>
      </c>
      <c r="K1212" s="431">
        <v>7.1</v>
      </c>
      <c r="L1212" s="431">
        <v>6.58</v>
      </c>
      <c r="M1212" s="431">
        <v>6.37</v>
      </c>
      <c r="N1212" s="431">
        <v>6</v>
      </c>
      <c r="O1212" s="431">
        <v>5.73</v>
      </c>
      <c r="P1212" s="431">
        <v>4.9800000000000004</v>
      </c>
      <c r="Q1212" s="179">
        <f t="shared" si="35"/>
        <v>6.2858333333333336</v>
      </c>
      <c r="R1212" s="179" t="s">
        <v>993</v>
      </c>
    </row>
    <row r="1213" spans="1:18" x14ac:dyDescent="0.15">
      <c r="A1213" s="179" t="str">
        <f t="shared" si="34"/>
        <v>Merida_Optimal Year Round_202.5</v>
      </c>
      <c r="B1213" s="501" t="s">
        <v>990</v>
      </c>
      <c r="C1213" s="429">
        <v>21</v>
      </c>
      <c r="D1213" s="429">
        <v>202.5</v>
      </c>
      <c r="E1213" s="431">
        <v>5.2</v>
      </c>
      <c r="F1213" s="431">
        <v>6.06</v>
      </c>
      <c r="G1213" s="431">
        <v>6.51</v>
      </c>
      <c r="H1213" s="431">
        <v>6.61</v>
      </c>
      <c r="I1213" s="431">
        <v>6.54</v>
      </c>
      <c r="J1213" s="431">
        <v>6.78</v>
      </c>
      <c r="K1213" s="431">
        <v>6.92</v>
      </c>
      <c r="L1213" s="431">
        <v>6.42</v>
      </c>
      <c r="M1213" s="431">
        <v>6.21</v>
      </c>
      <c r="N1213" s="431">
        <v>5.85</v>
      </c>
      <c r="O1213" s="431">
        <v>5.59</v>
      </c>
      <c r="P1213" s="431">
        <v>4.8600000000000003</v>
      </c>
      <c r="Q1213" s="179">
        <f t="shared" si="35"/>
        <v>6.1291666666666664</v>
      </c>
      <c r="R1213" s="179" t="s">
        <v>993</v>
      </c>
    </row>
    <row r="1214" spans="1:18" x14ac:dyDescent="0.15">
      <c r="A1214" s="179" t="str">
        <f t="shared" si="34"/>
        <v>Merida_Optimal Year Round_225</v>
      </c>
      <c r="B1214" s="501" t="s">
        <v>990</v>
      </c>
      <c r="C1214" s="429">
        <v>21</v>
      </c>
      <c r="D1214" s="429">
        <v>225</v>
      </c>
      <c r="E1214" s="431">
        <v>5.0599999999999996</v>
      </c>
      <c r="F1214" s="431">
        <v>5.91</v>
      </c>
      <c r="G1214" s="431">
        <v>6.35</v>
      </c>
      <c r="H1214" s="431">
        <v>6.44</v>
      </c>
      <c r="I1214" s="431">
        <v>6.37</v>
      </c>
      <c r="J1214" s="431">
        <v>6.6</v>
      </c>
      <c r="K1214" s="431">
        <v>6.74</v>
      </c>
      <c r="L1214" s="431">
        <v>6.25</v>
      </c>
      <c r="M1214" s="431">
        <v>6.05</v>
      </c>
      <c r="N1214" s="431">
        <v>5.7</v>
      </c>
      <c r="O1214" s="431">
        <v>5.44</v>
      </c>
      <c r="P1214" s="431">
        <v>4.7300000000000004</v>
      </c>
      <c r="Q1214" s="179">
        <f t="shared" si="35"/>
        <v>5.9700000000000015</v>
      </c>
      <c r="R1214" s="179" t="s">
        <v>993</v>
      </c>
    </row>
    <row r="1215" spans="1:18" x14ac:dyDescent="0.15">
      <c r="A1215" s="179" t="str">
        <f t="shared" si="34"/>
        <v>Merida_Optimal Year Round_247.5</v>
      </c>
      <c r="B1215" s="501" t="s">
        <v>990</v>
      </c>
      <c r="C1215" s="429">
        <v>21</v>
      </c>
      <c r="D1215" s="429">
        <v>247.5</v>
      </c>
      <c r="E1215" s="431">
        <v>4.66</v>
      </c>
      <c r="F1215" s="431">
        <v>5.44</v>
      </c>
      <c r="G1215" s="431">
        <v>5.84</v>
      </c>
      <c r="H1215" s="431">
        <v>5.93</v>
      </c>
      <c r="I1215" s="431">
        <v>5.87</v>
      </c>
      <c r="J1215" s="431">
        <v>6.08</v>
      </c>
      <c r="K1215" s="431">
        <v>6.21</v>
      </c>
      <c r="L1215" s="431">
        <v>5.76</v>
      </c>
      <c r="M1215" s="431">
        <v>5.57</v>
      </c>
      <c r="N1215" s="431">
        <v>5.25</v>
      </c>
      <c r="O1215" s="431">
        <v>5.01</v>
      </c>
      <c r="P1215" s="431">
        <v>4.3600000000000003</v>
      </c>
      <c r="Q1215" s="179">
        <f t="shared" si="35"/>
        <v>5.498333333333334</v>
      </c>
      <c r="R1215" s="179" t="s">
        <v>993</v>
      </c>
    </row>
    <row r="1216" spans="1:18" x14ac:dyDescent="0.15">
      <c r="A1216" s="179" t="str">
        <f t="shared" si="34"/>
        <v>Merida_Optimal Year Round_270</v>
      </c>
      <c r="B1216" s="501" t="s">
        <v>990</v>
      </c>
      <c r="C1216" s="429">
        <v>21</v>
      </c>
      <c r="D1216" s="429">
        <v>270</v>
      </c>
      <c r="E1216" s="431">
        <v>4.26</v>
      </c>
      <c r="F1216" s="431">
        <v>4.9800000000000004</v>
      </c>
      <c r="G1216" s="431">
        <v>5.34</v>
      </c>
      <c r="H1216" s="431">
        <v>5.42</v>
      </c>
      <c r="I1216" s="431">
        <v>5.37</v>
      </c>
      <c r="J1216" s="431">
        <v>5.56</v>
      </c>
      <c r="K1216" s="431">
        <v>5.68</v>
      </c>
      <c r="L1216" s="431">
        <v>5.26</v>
      </c>
      <c r="M1216" s="431">
        <v>5.0999999999999996</v>
      </c>
      <c r="N1216" s="431">
        <v>4.8</v>
      </c>
      <c r="O1216" s="431">
        <v>4.58</v>
      </c>
      <c r="P1216" s="431">
        <v>3.98</v>
      </c>
      <c r="Q1216" s="179">
        <f t="shared" si="35"/>
        <v>5.027499999999999</v>
      </c>
      <c r="R1216" s="179" t="s">
        <v>993</v>
      </c>
    </row>
    <row r="1217" spans="1:18" x14ac:dyDescent="0.15">
      <c r="A1217" s="179" t="str">
        <f t="shared" si="34"/>
        <v>Mexicali_Flat Surface_90</v>
      </c>
      <c r="B1217" s="501" t="s">
        <v>1000</v>
      </c>
      <c r="C1217" s="429">
        <v>0</v>
      </c>
      <c r="D1217" s="429">
        <v>90</v>
      </c>
      <c r="E1217" s="431">
        <v>3.08</v>
      </c>
      <c r="F1217" s="431">
        <v>3.9</v>
      </c>
      <c r="G1217" s="431">
        <v>5.27</v>
      </c>
      <c r="H1217" s="431">
        <v>6.31</v>
      </c>
      <c r="I1217" s="431">
        <v>7.25</v>
      </c>
      <c r="J1217" s="431">
        <v>7.5</v>
      </c>
      <c r="K1217" s="431">
        <v>6.89</v>
      </c>
      <c r="L1217" s="431">
        <v>6.26</v>
      </c>
      <c r="M1217" s="431">
        <v>5.45</v>
      </c>
      <c r="N1217" s="431">
        <v>4.42</v>
      </c>
      <c r="O1217" s="431">
        <v>3.41</v>
      </c>
      <c r="P1217" s="431">
        <v>2.87</v>
      </c>
      <c r="Q1217" s="179">
        <f t="shared" si="35"/>
        <v>5.2175000000000002</v>
      </c>
      <c r="R1217" s="179" t="s">
        <v>994</v>
      </c>
    </row>
    <row r="1218" spans="1:18" x14ac:dyDescent="0.15">
      <c r="A1218" s="179" t="str">
        <f t="shared" ref="A1218:A1281" si="36">B1218&amp;"_"&amp;R1218&amp;"_"&amp;D1218</f>
        <v>Mexicali_Flat Surface_112.5</v>
      </c>
      <c r="B1218" s="501" t="s">
        <v>1000</v>
      </c>
      <c r="C1218" s="429">
        <v>0</v>
      </c>
      <c r="D1218" s="429">
        <v>112.5</v>
      </c>
      <c r="E1218" s="431">
        <v>3.08</v>
      </c>
      <c r="F1218" s="431">
        <v>3.9</v>
      </c>
      <c r="G1218" s="431">
        <v>5.27</v>
      </c>
      <c r="H1218" s="431">
        <v>6.31</v>
      </c>
      <c r="I1218" s="431">
        <v>7.25</v>
      </c>
      <c r="J1218" s="431">
        <v>7.5</v>
      </c>
      <c r="K1218" s="431">
        <v>6.89</v>
      </c>
      <c r="L1218" s="431">
        <v>6.26</v>
      </c>
      <c r="M1218" s="431">
        <v>5.45</v>
      </c>
      <c r="N1218" s="431">
        <v>4.42</v>
      </c>
      <c r="O1218" s="431">
        <v>3.41</v>
      </c>
      <c r="P1218" s="431">
        <v>2.87</v>
      </c>
      <c r="Q1218" s="179">
        <f t="shared" ref="Q1218:Q1281" si="37">AVERAGE(E1218:P1218)</f>
        <v>5.2175000000000002</v>
      </c>
      <c r="R1218" s="179" t="s">
        <v>994</v>
      </c>
    </row>
    <row r="1219" spans="1:18" x14ac:dyDescent="0.15">
      <c r="A1219" s="179" t="str">
        <f t="shared" si="36"/>
        <v>Mexicali_Flat Surface_135</v>
      </c>
      <c r="B1219" s="501" t="s">
        <v>1000</v>
      </c>
      <c r="C1219" s="429">
        <v>0</v>
      </c>
      <c r="D1219" s="429">
        <v>135</v>
      </c>
      <c r="E1219" s="431">
        <v>3.08</v>
      </c>
      <c r="F1219" s="431">
        <v>3.9</v>
      </c>
      <c r="G1219" s="431">
        <v>5.27</v>
      </c>
      <c r="H1219" s="431">
        <v>6.31</v>
      </c>
      <c r="I1219" s="431">
        <v>7.25</v>
      </c>
      <c r="J1219" s="431">
        <v>7.5</v>
      </c>
      <c r="K1219" s="431">
        <v>6.89</v>
      </c>
      <c r="L1219" s="431">
        <v>6.26</v>
      </c>
      <c r="M1219" s="431">
        <v>5.45</v>
      </c>
      <c r="N1219" s="431">
        <v>4.42</v>
      </c>
      <c r="O1219" s="431">
        <v>3.41</v>
      </c>
      <c r="P1219" s="431">
        <v>2.87</v>
      </c>
      <c r="Q1219" s="179">
        <f t="shared" si="37"/>
        <v>5.2175000000000002</v>
      </c>
      <c r="R1219" s="179" t="s">
        <v>994</v>
      </c>
    </row>
    <row r="1220" spans="1:18" x14ac:dyDescent="0.15">
      <c r="A1220" s="179" t="str">
        <f t="shared" si="36"/>
        <v>Mexicali_Flat Surface_157.5</v>
      </c>
      <c r="B1220" s="501" t="s">
        <v>1000</v>
      </c>
      <c r="C1220" s="429">
        <v>0</v>
      </c>
      <c r="D1220" s="429">
        <v>157.5</v>
      </c>
      <c r="E1220" s="431">
        <v>3.08</v>
      </c>
      <c r="F1220" s="431">
        <v>3.9</v>
      </c>
      <c r="G1220" s="431">
        <v>5.27</v>
      </c>
      <c r="H1220" s="431">
        <v>6.31</v>
      </c>
      <c r="I1220" s="431">
        <v>7.25</v>
      </c>
      <c r="J1220" s="431">
        <v>7.5</v>
      </c>
      <c r="K1220" s="431">
        <v>6.89</v>
      </c>
      <c r="L1220" s="431">
        <v>6.26</v>
      </c>
      <c r="M1220" s="431">
        <v>5.45</v>
      </c>
      <c r="N1220" s="431">
        <v>4.42</v>
      </c>
      <c r="O1220" s="431">
        <v>3.41</v>
      </c>
      <c r="P1220" s="431">
        <v>2.87</v>
      </c>
      <c r="Q1220" s="179">
        <f t="shared" si="37"/>
        <v>5.2175000000000002</v>
      </c>
      <c r="R1220" s="179" t="s">
        <v>994</v>
      </c>
    </row>
    <row r="1221" spans="1:18" x14ac:dyDescent="0.15">
      <c r="A1221" s="179" t="str">
        <f t="shared" si="36"/>
        <v>Mexicali_Flat Surface_180</v>
      </c>
      <c r="B1221" s="501" t="s">
        <v>1000</v>
      </c>
      <c r="C1221" s="429">
        <v>0</v>
      </c>
      <c r="D1221" s="429">
        <v>180</v>
      </c>
      <c r="E1221" s="431">
        <v>3.08</v>
      </c>
      <c r="F1221" s="431">
        <v>3.9</v>
      </c>
      <c r="G1221" s="431">
        <v>5.27</v>
      </c>
      <c r="H1221" s="431">
        <v>6.31</v>
      </c>
      <c r="I1221" s="431">
        <v>7.25</v>
      </c>
      <c r="J1221" s="431">
        <v>7.5</v>
      </c>
      <c r="K1221" s="431">
        <v>6.89</v>
      </c>
      <c r="L1221" s="431">
        <v>6.26</v>
      </c>
      <c r="M1221" s="431">
        <v>5.45</v>
      </c>
      <c r="N1221" s="431">
        <v>4.42</v>
      </c>
      <c r="O1221" s="431">
        <v>3.41</v>
      </c>
      <c r="P1221" s="431">
        <v>2.87</v>
      </c>
      <c r="Q1221" s="179">
        <f t="shared" si="37"/>
        <v>5.2175000000000002</v>
      </c>
      <c r="R1221" s="179" t="s">
        <v>994</v>
      </c>
    </row>
    <row r="1222" spans="1:18" x14ac:dyDescent="0.15">
      <c r="A1222" s="179" t="str">
        <f t="shared" si="36"/>
        <v>Mexicali_Flat Surface_202.5</v>
      </c>
      <c r="B1222" s="501" t="s">
        <v>1000</v>
      </c>
      <c r="C1222" s="429">
        <v>0</v>
      </c>
      <c r="D1222" s="429">
        <v>202.5</v>
      </c>
      <c r="E1222" s="431">
        <v>3.08</v>
      </c>
      <c r="F1222" s="431">
        <v>3.9</v>
      </c>
      <c r="G1222" s="431">
        <v>5.27</v>
      </c>
      <c r="H1222" s="431">
        <v>6.31</v>
      </c>
      <c r="I1222" s="431">
        <v>7.25</v>
      </c>
      <c r="J1222" s="431">
        <v>7.5</v>
      </c>
      <c r="K1222" s="431">
        <v>6.89</v>
      </c>
      <c r="L1222" s="431">
        <v>6.26</v>
      </c>
      <c r="M1222" s="431">
        <v>5.45</v>
      </c>
      <c r="N1222" s="431">
        <v>4.42</v>
      </c>
      <c r="O1222" s="431">
        <v>3.41</v>
      </c>
      <c r="P1222" s="431">
        <v>2.87</v>
      </c>
      <c r="Q1222" s="179">
        <f t="shared" si="37"/>
        <v>5.2175000000000002</v>
      </c>
      <c r="R1222" s="179" t="s">
        <v>994</v>
      </c>
    </row>
    <row r="1223" spans="1:18" x14ac:dyDescent="0.15">
      <c r="A1223" s="179" t="str">
        <f t="shared" si="36"/>
        <v>Mexicali_Flat Surface_225</v>
      </c>
      <c r="B1223" s="501" t="s">
        <v>1000</v>
      </c>
      <c r="C1223" s="429">
        <v>0</v>
      </c>
      <c r="D1223" s="429">
        <v>225</v>
      </c>
      <c r="E1223" s="431">
        <v>3.08</v>
      </c>
      <c r="F1223" s="431">
        <v>3.9</v>
      </c>
      <c r="G1223" s="431">
        <v>5.27</v>
      </c>
      <c r="H1223" s="431">
        <v>6.31</v>
      </c>
      <c r="I1223" s="431">
        <v>7.25</v>
      </c>
      <c r="J1223" s="431">
        <v>7.5</v>
      </c>
      <c r="K1223" s="431">
        <v>6.89</v>
      </c>
      <c r="L1223" s="431">
        <v>6.26</v>
      </c>
      <c r="M1223" s="431">
        <v>5.45</v>
      </c>
      <c r="N1223" s="431">
        <v>4.42</v>
      </c>
      <c r="O1223" s="431">
        <v>3.41</v>
      </c>
      <c r="P1223" s="431">
        <v>2.87</v>
      </c>
      <c r="Q1223" s="179">
        <f t="shared" si="37"/>
        <v>5.2175000000000002</v>
      </c>
      <c r="R1223" s="179" t="s">
        <v>994</v>
      </c>
    </row>
    <row r="1224" spans="1:18" x14ac:dyDescent="0.15">
      <c r="A1224" s="179" t="str">
        <f t="shared" si="36"/>
        <v>Mexicali_Flat Surface_247.5</v>
      </c>
      <c r="B1224" s="501" t="s">
        <v>1000</v>
      </c>
      <c r="C1224" s="429">
        <v>0</v>
      </c>
      <c r="D1224" s="429">
        <v>247.5</v>
      </c>
      <c r="E1224" s="431">
        <v>3.08</v>
      </c>
      <c r="F1224" s="431">
        <v>3.9</v>
      </c>
      <c r="G1224" s="431">
        <v>5.27</v>
      </c>
      <c r="H1224" s="431">
        <v>6.31</v>
      </c>
      <c r="I1224" s="431">
        <v>7.25</v>
      </c>
      <c r="J1224" s="431">
        <v>7.5</v>
      </c>
      <c r="K1224" s="431">
        <v>6.89</v>
      </c>
      <c r="L1224" s="431">
        <v>6.26</v>
      </c>
      <c r="M1224" s="431">
        <v>5.45</v>
      </c>
      <c r="N1224" s="431">
        <v>4.42</v>
      </c>
      <c r="O1224" s="431">
        <v>3.41</v>
      </c>
      <c r="P1224" s="431">
        <v>2.87</v>
      </c>
      <c r="Q1224" s="179">
        <f t="shared" si="37"/>
        <v>5.2175000000000002</v>
      </c>
      <c r="R1224" s="179" t="s">
        <v>994</v>
      </c>
    </row>
    <row r="1225" spans="1:18" x14ac:dyDescent="0.15">
      <c r="A1225" s="179" t="str">
        <f t="shared" si="36"/>
        <v>Mexicali_Flat Surface_270</v>
      </c>
      <c r="B1225" s="501" t="s">
        <v>1000</v>
      </c>
      <c r="C1225" s="429">
        <v>0</v>
      </c>
      <c r="D1225" s="429">
        <v>270</v>
      </c>
      <c r="E1225" s="431">
        <v>3.08</v>
      </c>
      <c r="F1225" s="431">
        <v>3.9</v>
      </c>
      <c r="G1225" s="431">
        <v>5.27</v>
      </c>
      <c r="H1225" s="431">
        <v>6.31</v>
      </c>
      <c r="I1225" s="431">
        <v>7.25</v>
      </c>
      <c r="J1225" s="431">
        <v>7.5</v>
      </c>
      <c r="K1225" s="431">
        <v>6.89</v>
      </c>
      <c r="L1225" s="431">
        <v>6.26</v>
      </c>
      <c r="M1225" s="431">
        <v>5.45</v>
      </c>
      <c r="N1225" s="431">
        <v>4.42</v>
      </c>
      <c r="O1225" s="431">
        <v>3.41</v>
      </c>
      <c r="P1225" s="431">
        <v>2.87</v>
      </c>
      <c r="Q1225" s="179">
        <f t="shared" si="37"/>
        <v>5.2175000000000002</v>
      </c>
      <c r="R1225" s="179" t="s">
        <v>994</v>
      </c>
    </row>
    <row r="1226" spans="1:18" x14ac:dyDescent="0.15">
      <c r="A1226" s="179" t="str">
        <f t="shared" si="36"/>
        <v>Mexicali_Optimal Summer_90</v>
      </c>
      <c r="B1226" s="501" t="s">
        <v>1000</v>
      </c>
      <c r="C1226" s="429">
        <v>18</v>
      </c>
      <c r="D1226" s="429">
        <v>90</v>
      </c>
      <c r="E1226" s="431">
        <v>3.18</v>
      </c>
      <c r="F1226" s="431">
        <v>3.77</v>
      </c>
      <c r="G1226" s="431">
        <v>4.7300000000000004</v>
      </c>
      <c r="H1226" s="431">
        <v>5.27</v>
      </c>
      <c r="I1226" s="431">
        <v>5.7</v>
      </c>
      <c r="J1226" s="431">
        <v>5.78</v>
      </c>
      <c r="K1226" s="431">
        <v>5.37</v>
      </c>
      <c r="L1226" s="431">
        <v>5.07</v>
      </c>
      <c r="M1226" s="431">
        <v>4.7300000000000004</v>
      </c>
      <c r="N1226" s="431">
        <v>4.18</v>
      </c>
      <c r="O1226" s="431">
        <v>3.48</v>
      </c>
      <c r="P1226" s="431">
        <v>3.06</v>
      </c>
      <c r="Q1226" s="179">
        <f t="shared" si="37"/>
        <v>4.5266666666666664</v>
      </c>
      <c r="R1226" s="179" t="s">
        <v>958</v>
      </c>
    </row>
    <row r="1227" spans="1:18" x14ac:dyDescent="0.15">
      <c r="A1227" s="179" t="str">
        <f t="shared" si="36"/>
        <v>Mexicali_Optimal Summer_112.5</v>
      </c>
      <c r="B1227" s="501" t="s">
        <v>1000</v>
      </c>
      <c r="C1227" s="429">
        <v>18</v>
      </c>
      <c r="D1227" s="429">
        <v>112.5</v>
      </c>
      <c r="E1227" s="431">
        <v>3.48</v>
      </c>
      <c r="F1227" s="431">
        <v>4.12</v>
      </c>
      <c r="G1227" s="431">
        <v>5.17</v>
      </c>
      <c r="H1227" s="431">
        <v>5.77</v>
      </c>
      <c r="I1227" s="431">
        <v>6.24</v>
      </c>
      <c r="J1227" s="431">
        <v>6.32</v>
      </c>
      <c r="K1227" s="431">
        <v>5.87</v>
      </c>
      <c r="L1227" s="431">
        <v>5.55</v>
      </c>
      <c r="M1227" s="431">
        <v>5.17</v>
      </c>
      <c r="N1227" s="431">
        <v>4.58</v>
      </c>
      <c r="O1227" s="431">
        <v>3.81</v>
      </c>
      <c r="P1227" s="431">
        <v>3.34</v>
      </c>
      <c r="Q1227" s="179">
        <f t="shared" si="37"/>
        <v>4.9516666666666671</v>
      </c>
      <c r="R1227" s="179" t="s">
        <v>958</v>
      </c>
    </row>
    <row r="1228" spans="1:18" x14ac:dyDescent="0.15">
      <c r="A1228" s="179" t="str">
        <f t="shared" si="36"/>
        <v>Mexicali_Optimal Summer_135</v>
      </c>
      <c r="B1228" s="501" t="s">
        <v>1000</v>
      </c>
      <c r="C1228" s="429">
        <v>18</v>
      </c>
      <c r="D1228" s="429">
        <v>135</v>
      </c>
      <c r="E1228" s="431">
        <v>3.78</v>
      </c>
      <c r="F1228" s="431">
        <v>4.47</v>
      </c>
      <c r="G1228" s="431">
        <v>5.61</v>
      </c>
      <c r="H1228" s="431">
        <v>6.26</v>
      </c>
      <c r="I1228" s="431">
        <v>6.77</v>
      </c>
      <c r="J1228" s="431">
        <v>6.86</v>
      </c>
      <c r="K1228" s="431">
        <v>6.37</v>
      </c>
      <c r="L1228" s="431">
        <v>6.02</v>
      </c>
      <c r="M1228" s="431">
        <v>5.61</v>
      </c>
      <c r="N1228" s="431">
        <v>4.97</v>
      </c>
      <c r="O1228" s="431">
        <v>4.13</v>
      </c>
      <c r="P1228" s="431">
        <v>3.63</v>
      </c>
      <c r="Q1228" s="179">
        <f t="shared" si="37"/>
        <v>5.373333333333334</v>
      </c>
      <c r="R1228" s="179" t="s">
        <v>958</v>
      </c>
    </row>
    <row r="1229" spans="1:18" x14ac:dyDescent="0.15">
      <c r="A1229" s="179" t="str">
        <f t="shared" si="36"/>
        <v>Mexicali_Optimal Summer_157.5</v>
      </c>
      <c r="B1229" s="501" t="s">
        <v>1000</v>
      </c>
      <c r="C1229" s="429">
        <v>18</v>
      </c>
      <c r="D1229" s="429">
        <v>157.5</v>
      </c>
      <c r="E1229" s="431">
        <v>3.88</v>
      </c>
      <c r="F1229" s="431">
        <v>4.59</v>
      </c>
      <c r="G1229" s="431">
        <v>5.76</v>
      </c>
      <c r="H1229" s="431">
        <v>6.43</v>
      </c>
      <c r="I1229" s="431">
        <v>6.95</v>
      </c>
      <c r="J1229" s="431">
        <v>7.04</v>
      </c>
      <c r="K1229" s="431">
        <v>6.54</v>
      </c>
      <c r="L1229" s="431">
        <v>6.18</v>
      </c>
      <c r="M1229" s="431">
        <v>5.76</v>
      </c>
      <c r="N1229" s="431">
        <v>5.0999999999999996</v>
      </c>
      <c r="O1229" s="431">
        <v>4.24</v>
      </c>
      <c r="P1229" s="431">
        <v>3.72</v>
      </c>
      <c r="Q1229" s="179">
        <f t="shared" si="37"/>
        <v>5.5158333333333331</v>
      </c>
      <c r="R1229" s="179" t="s">
        <v>958</v>
      </c>
    </row>
    <row r="1230" spans="1:18" x14ac:dyDescent="0.15">
      <c r="A1230" s="179" t="str">
        <f t="shared" si="36"/>
        <v>Mexicali_Optimal Summer_180</v>
      </c>
      <c r="B1230" s="501" t="s">
        <v>1000</v>
      </c>
      <c r="C1230" s="429">
        <v>18</v>
      </c>
      <c r="D1230" s="429">
        <v>180</v>
      </c>
      <c r="E1230" s="431">
        <v>3.98</v>
      </c>
      <c r="F1230" s="431">
        <v>4.71</v>
      </c>
      <c r="G1230" s="431">
        <v>5.91</v>
      </c>
      <c r="H1230" s="431">
        <v>6.59</v>
      </c>
      <c r="I1230" s="431">
        <v>7.13</v>
      </c>
      <c r="J1230" s="431">
        <v>7.22</v>
      </c>
      <c r="K1230" s="431">
        <v>6.71</v>
      </c>
      <c r="L1230" s="431">
        <v>6.34</v>
      </c>
      <c r="M1230" s="431">
        <v>5.91</v>
      </c>
      <c r="N1230" s="431">
        <v>5.23</v>
      </c>
      <c r="O1230" s="431">
        <v>4.3499999999999996</v>
      </c>
      <c r="P1230" s="431">
        <v>3.82</v>
      </c>
      <c r="Q1230" s="179">
        <f t="shared" si="37"/>
        <v>5.6583333333333323</v>
      </c>
      <c r="R1230" s="179" t="s">
        <v>958</v>
      </c>
    </row>
    <row r="1231" spans="1:18" x14ac:dyDescent="0.15">
      <c r="A1231" s="179" t="str">
        <f t="shared" si="36"/>
        <v>Mexicali_Optimal Summer_202.5</v>
      </c>
      <c r="B1231" s="501" t="s">
        <v>1000</v>
      </c>
      <c r="C1231" s="429">
        <v>18</v>
      </c>
      <c r="D1231" s="429">
        <v>202.5</v>
      </c>
      <c r="E1231" s="431">
        <v>3.88</v>
      </c>
      <c r="F1231" s="431">
        <v>4.59</v>
      </c>
      <c r="G1231" s="431">
        <v>5.76</v>
      </c>
      <c r="H1231" s="431">
        <v>6.43</v>
      </c>
      <c r="I1231" s="431">
        <v>6.95</v>
      </c>
      <c r="J1231" s="431">
        <v>7.04</v>
      </c>
      <c r="K1231" s="431">
        <v>6.54</v>
      </c>
      <c r="L1231" s="431">
        <v>6.18</v>
      </c>
      <c r="M1231" s="431">
        <v>5.76</v>
      </c>
      <c r="N1231" s="431">
        <v>5.0999999999999996</v>
      </c>
      <c r="O1231" s="431">
        <v>4.24</v>
      </c>
      <c r="P1231" s="431">
        <v>3.72</v>
      </c>
      <c r="Q1231" s="179">
        <f t="shared" si="37"/>
        <v>5.5158333333333331</v>
      </c>
      <c r="R1231" s="179" t="s">
        <v>958</v>
      </c>
    </row>
    <row r="1232" spans="1:18" x14ac:dyDescent="0.15">
      <c r="A1232" s="179" t="str">
        <f t="shared" si="36"/>
        <v>Mexicali_Optimal Summer_225</v>
      </c>
      <c r="B1232" s="501" t="s">
        <v>1000</v>
      </c>
      <c r="C1232" s="429">
        <v>18</v>
      </c>
      <c r="D1232" s="429">
        <v>225</v>
      </c>
      <c r="E1232" s="431">
        <v>3.78</v>
      </c>
      <c r="F1232" s="431">
        <v>4.47</v>
      </c>
      <c r="G1232" s="431">
        <v>5.61</v>
      </c>
      <c r="H1232" s="431">
        <v>6.26</v>
      </c>
      <c r="I1232" s="431">
        <v>6.77</v>
      </c>
      <c r="J1232" s="431">
        <v>6.86</v>
      </c>
      <c r="K1232" s="431">
        <v>6.37</v>
      </c>
      <c r="L1232" s="431">
        <v>6.02</v>
      </c>
      <c r="M1232" s="431">
        <v>5.61</v>
      </c>
      <c r="N1232" s="431">
        <v>4.97</v>
      </c>
      <c r="O1232" s="431">
        <v>4.13</v>
      </c>
      <c r="P1232" s="431">
        <v>3.63</v>
      </c>
      <c r="Q1232" s="179">
        <f t="shared" si="37"/>
        <v>5.373333333333334</v>
      </c>
      <c r="R1232" s="179" t="s">
        <v>958</v>
      </c>
    </row>
    <row r="1233" spans="1:18" x14ac:dyDescent="0.15">
      <c r="A1233" s="179" t="str">
        <f t="shared" si="36"/>
        <v>Mexicali_Optimal Summer_247.5</v>
      </c>
      <c r="B1233" s="501" t="s">
        <v>1000</v>
      </c>
      <c r="C1233" s="429">
        <v>18</v>
      </c>
      <c r="D1233" s="429">
        <v>247.5</v>
      </c>
      <c r="E1233" s="431">
        <v>3.48</v>
      </c>
      <c r="F1233" s="431">
        <v>4.12</v>
      </c>
      <c r="G1233" s="431">
        <v>5.17</v>
      </c>
      <c r="H1233" s="431">
        <v>5.77</v>
      </c>
      <c r="I1233" s="431">
        <v>6.24</v>
      </c>
      <c r="J1233" s="431">
        <v>6.32</v>
      </c>
      <c r="K1233" s="431">
        <v>5.87</v>
      </c>
      <c r="L1233" s="431">
        <v>5.55</v>
      </c>
      <c r="M1233" s="431">
        <v>5.17</v>
      </c>
      <c r="N1233" s="431">
        <v>4.58</v>
      </c>
      <c r="O1233" s="431">
        <v>3.81</v>
      </c>
      <c r="P1233" s="431">
        <v>3.34</v>
      </c>
      <c r="Q1233" s="179">
        <f t="shared" si="37"/>
        <v>4.9516666666666671</v>
      </c>
      <c r="R1233" s="179" t="s">
        <v>958</v>
      </c>
    </row>
    <row r="1234" spans="1:18" x14ac:dyDescent="0.15">
      <c r="A1234" s="179" t="str">
        <f t="shared" si="36"/>
        <v>Mexicali_Optimal Summer_270</v>
      </c>
      <c r="B1234" s="501" t="s">
        <v>1000</v>
      </c>
      <c r="C1234" s="429">
        <v>18</v>
      </c>
      <c r="D1234" s="429">
        <v>270</v>
      </c>
      <c r="E1234" s="431">
        <v>3.18</v>
      </c>
      <c r="F1234" s="431">
        <v>3.77</v>
      </c>
      <c r="G1234" s="431">
        <v>4.7300000000000004</v>
      </c>
      <c r="H1234" s="431">
        <v>5.27</v>
      </c>
      <c r="I1234" s="431">
        <v>5.7</v>
      </c>
      <c r="J1234" s="431">
        <v>5.78</v>
      </c>
      <c r="K1234" s="431">
        <v>5.37</v>
      </c>
      <c r="L1234" s="431">
        <v>5.07</v>
      </c>
      <c r="M1234" s="431">
        <v>4.7300000000000004</v>
      </c>
      <c r="N1234" s="431">
        <v>4.18</v>
      </c>
      <c r="O1234" s="431">
        <v>3.48</v>
      </c>
      <c r="P1234" s="431">
        <v>3.06</v>
      </c>
      <c r="Q1234" s="179">
        <f t="shared" si="37"/>
        <v>4.5266666666666664</v>
      </c>
      <c r="R1234" s="179" t="s">
        <v>958</v>
      </c>
    </row>
    <row r="1235" spans="1:18" x14ac:dyDescent="0.15">
      <c r="A1235" s="179" t="str">
        <f t="shared" si="36"/>
        <v>Mexicali_Optimal Year Round_90</v>
      </c>
      <c r="B1235" s="501" t="s">
        <v>1000</v>
      </c>
      <c r="C1235" s="429">
        <v>33</v>
      </c>
      <c r="D1235" s="429">
        <v>90</v>
      </c>
      <c r="E1235" s="431">
        <v>3.63</v>
      </c>
      <c r="F1235" s="431">
        <v>4.12</v>
      </c>
      <c r="G1235" s="431">
        <v>4.91</v>
      </c>
      <c r="H1235" s="431">
        <v>5.18</v>
      </c>
      <c r="I1235" s="431">
        <v>5.31</v>
      </c>
      <c r="J1235" s="431">
        <v>5.26</v>
      </c>
      <c r="K1235" s="431">
        <v>4.9400000000000004</v>
      </c>
      <c r="L1235" s="431">
        <v>4.8499999999999996</v>
      </c>
      <c r="M1235" s="431">
        <v>4.79</v>
      </c>
      <c r="N1235" s="431">
        <v>4.51</v>
      </c>
      <c r="O1235" s="431">
        <v>3.94</v>
      </c>
      <c r="P1235" s="431">
        <v>3.54</v>
      </c>
      <c r="Q1235" s="179">
        <f t="shared" si="37"/>
        <v>4.5816666666666661</v>
      </c>
      <c r="R1235" s="179" t="s">
        <v>993</v>
      </c>
    </row>
    <row r="1236" spans="1:18" x14ac:dyDescent="0.15">
      <c r="A1236" s="179" t="str">
        <f t="shared" si="36"/>
        <v>Mexicali_Optimal Year Round_112.5</v>
      </c>
      <c r="B1236" s="501" t="s">
        <v>1000</v>
      </c>
      <c r="C1236" s="429">
        <v>33</v>
      </c>
      <c r="D1236" s="429">
        <v>112.5</v>
      </c>
      <c r="E1236" s="431">
        <v>3.97</v>
      </c>
      <c r="F1236" s="431">
        <v>4.51</v>
      </c>
      <c r="G1236" s="431">
        <v>5.37</v>
      </c>
      <c r="H1236" s="431">
        <v>5.66</v>
      </c>
      <c r="I1236" s="431">
        <v>5.81</v>
      </c>
      <c r="J1236" s="431">
        <v>5.75</v>
      </c>
      <c r="K1236" s="431">
        <v>5.41</v>
      </c>
      <c r="L1236" s="431">
        <v>5.3</v>
      </c>
      <c r="M1236" s="431">
        <v>5.24</v>
      </c>
      <c r="N1236" s="431">
        <v>4.9400000000000004</v>
      </c>
      <c r="O1236" s="431">
        <v>4.3099999999999996</v>
      </c>
      <c r="P1236" s="431">
        <v>3.88</v>
      </c>
      <c r="Q1236" s="179">
        <f t="shared" si="37"/>
        <v>5.0125000000000002</v>
      </c>
      <c r="R1236" s="179" t="s">
        <v>993</v>
      </c>
    </row>
    <row r="1237" spans="1:18" x14ac:dyDescent="0.15">
      <c r="A1237" s="179" t="str">
        <f t="shared" si="36"/>
        <v>Mexicali_Optimal Year Round_135</v>
      </c>
      <c r="B1237" s="501" t="s">
        <v>1000</v>
      </c>
      <c r="C1237" s="429">
        <v>33</v>
      </c>
      <c r="D1237" s="429">
        <v>135</v>
      </c>
      <c r="E1237" s="431">
        <v>4.3099999999999996</v>
      </c>
      <c r="F1237" s="431">
        <v>4.8899999999999997</v>
      </c>
      <c r="G1237" s="431">
        <v>5.83</v>
      </c>
      <c r="H1237" s="431">
        <v>6.15</v>
      </c>
      <c r="I1237" s="431">
        <v>6.31</v>
      </c>
      <c r="J1237" s="431">
        <v>6.24</v>
      </c>
      <c r="K1237" s="431">
        <v>5.87</v>
      </c>
      <c r="L1237" s="431">
        <v>5.76</v>
      </c>
      <c r="M1237" s="431">
        <v>5.69</v>
      </c>
      <c r="N1237" s="431">
        <v>5.36</v>
      </c>
      <c r="O1237" s="431">
        <v>4.68</v>
      </c>
      <c r="P1237" s="431">
        <v>4.21</v>
      </c>
      <c r="Q1237" s="179">
        <f t="shared" si="37"/>
        <v>5.4416666666666655</v>
      </c>
      <c r="R1237" s="179" t="s">
        <v>993</v>
      </c>
    </row>
    <row r="1238" spans="1:18" x14ac:dyDescent="0.15">
      <c r="A1238" s="179" t="str">
        <f t="shared" si="36"/>
        <v>Mexicali_Optimal Year Round_157.5</v>
      </c>
      <c r="B1238" s="501" t="s">
        <v>1000</v>
      </c>
      <c r="C1238" s="429">
        <v>33</v>
      </c>
      <c r="D1238" s="429">
        <v>157.5</v>
      </c>
      <c r="E1238" s="431">
        <v>4.43</v>
      </c>
      <c r="F1238" s="431">
        <v>5.0199999999999996</v>
      </c>
      <c r="G1238" s="431">
        <v>5.99</v>
      </c>
      <c r="H1238" s="431">
        <v>6.31</v>
      </c>
      <c r="I1238" s="431">
        <v>6.47</v>
      </c>
      <c r="J1238" s="431">
        <v>6.41</v>
      </c>
      <c r="K1238" s="431">
        <v>6.03</v>
      </c>
      <c r="L1238" s="431">
        <v>5.91</v>
      </c>
      <c r="M1238" s="431">
        <v>5.84</v>
      </c>
      <c r="N1238" s="431">
        <v>5.5</v>
      </c>
      <c r="O1238" s="431">
        <v>4.8099999999999996</v>
      </c>
      <c r="P1238" s="431">
        <v>4.32</v>
      </c>
      <c r="Q1238" s="179">
        <f t="shared" si="37"/>
        <v>5.586666666666666</v>
      </c>
      <c r="R1238" s="179" t="s">
        <v>993</v>
      </c>
    </row>
    <row r="1239" spans="1:18" x14ac:dyDescent="0.15">
      <c r="A1239" s="179" t="str">
        <f t="shared" si="36"/>
        <v>Mexicali_Optimal Year Round_180</v>
      </c>
      <c r="B1239" s="501" t="s">
        <v>1000</v>
      </c>
      <c r="C1239" s="429">
        <v>33</v>
      </c>
      <c r="D1239" s="429">
        <v>180</v>
      </c>
      <c r="E1239" s="431">
        <v>4.54</v>
      </c>
      <c r="F1239" s="431">
        <v>5.15</v>
      </c>
      <c r="G1239" s="431">
        <v>6.14</v>
      </c>
      <c r="H1239" s="431">
        <v>6.47</v>
      </c>
      <c r="I1239" s="431">
        <v>6.64</v>
      </c>
      <c r="J1239" s="431">
        <v>6.57</v>
      </c>
      <c r="K1239" s="431">
        <v>6.18</v>
      </c>
      <c r="L1239" s="431">
        <v>6.06</v>
      </c>
      <c r="M1239" s="431">
        <v>5.99</v>
      </c>
      <c r="N1239" s="431">
        <v>5.64</v>
      </c>
      <c r="O1239" s="431">
        <v>4.93</v>
      </c>
      <c r="P1239" s="431">
        <v>4.43</v>
      </c>
      <c r="Q1239" s="179">
        <f t="shared" si="37"/>
        <v>5.7283333333333344</v>
      </c>
      <c r="R1239" s="179" t="s">
        <v>993</v>
      </c>
    </row>
    <row r="1240" spans="1:18" x14ac:dyDescent="0.15">
      <c r="A1240" s="179" t="str">
        <f t="shared" si="36"/>
        <v>Mexicali_Optimal Year Round_202.5</v>
      </c>
      <c r="B1240" s="501" t="s">
        <v>1000</v>
      </c>
      <c r="C1240" s="429">
        <v>33</v>
      </c>
      <c r="D1240" s="429">
        <v>202.5</v>
      </c>
      <c r="E1240" s="431">
        <v>4.43</v>
      </c>
      <c r="F1240" s="431">
        <v>5.0199999999999996</v>
      </c>
      <c r="G1240" s="431">
        <v>5.99</v>
      </c>
      <c r="H1240" s="431">
        <v>6.31</v>
      </c>
      <c r="I1240" s="431">
        <v>6.47</v>
      </c>
      <c r="J1240" s="431">
        <v>6.41</v>
      </c>
      <c r="K1240" s="431">
        <v>6.03</v>
      </c>
      <c r="L1240" s="431">
        <v>5.91</v>
      </c>
      <c r="M1240" s="431">
        <v>5.84</v>
      </c>
      <c r="N1240" s="431">
        <v>5.5</v>
      </c>
      <c r="O1240" s="431">
        <v>4.8099999999999996</v>
      </c>
      <c r="P1240" s="431">
        <v>4.32</v>
      </c>
      <c r="Q1240" s="179">
        <f t="shared" si="37"/>
        <v>5.586666666666666</v>
      </c>
      <c r="R1240" s="179" t="s">
        <v>993</v>
      </c>
    </row>
    <row r="1241" spans="1:18" x14ac:dyDescent="0.15">
      <c r="A1241" s="179" t="str">
        <f t="shared" si="36"/>
        <v>Mexicali_Optimal Year Round_225</v>
      </c>
      <c r="B1241" s="501" t="s">
        <v>1000</v>
      </c>
      <c r="C1241" s="429">
        <v>33</v>
      </c>
      <c r="D1241" s="429">
        <v>225</v>
      </c>
      <c r="E1241" s="431">
        <v>4.3099999999999996</v>
      </c>
      <c r="F1241" s="431">
        <v>4.8899999999999997</v>
      </c>
      <c r="G1241" s="431">
        <v>5.83</v>
      </c>
      <c r="H1241" s="431">
        <v>6.15</v>
      </c>
      <c r="I1241" s="431">
        <v>6.31</v>
      </c>
      <c r="J1241" s="431">
        <v>6.24</v>
      </c>
      <c r="K1241" s="431">
        <v>5.87</v>
      </c>
      <c r="L1241" s="431">
        <v>5.76</v>
      </c>
      <c r="M1241" s="431">
        <v>5.69</v>
      </c>
      <c r="N1241" s="431">
        <v>5.36</v>
      </c>
      <c r="O1241" s="431">
        <v>4.68</v>
      </c>
      <c r="P1241" s="431">
        <v>4.21</v>
      </c>
      <c r="Q1241" s="179">
        <f t="shared" si="37"/>
        <v>5.4416666666666655</v>
      </c>
      <c r="R1241" s="179" t="s">
        <v>993</v>
      </c>
    </row>
    <row r="1242" spans="1:18" x14ac:dyDescent="0.15">
      <c r="A1242" s="179" t="str">
        <f t="shared" si="36"/>
        <v>Mexicali_Optimal Year Round_247.5</v>
      </c>
      <c r="B1242" s="501" t="s">
        <v>1000</v>
      </c>
      <c r="C1242" s="429">
        <v>33</v>
      </c>
      <c r="D1242" s="429">
        <v>247.5</v>
      </c>
      <c r="E1242" s="431">
        <v>3.97</v>
      </c>
      <c r="F1242" s="431">
        <v>4.51</v>
      </c>
      <c r="G1242" s="431">
        <v>5.37</v>
      </c>
      <c r="H1242" s="431">
        <v>5.66</v>
      </c>
      <c r="I1242" s="431">
        <v>5.81</v>
      </c>
      <c r="J1242" s="431">
        <v>5.75</v>
      </c>
      <c r="K1242" s="431">
        <v>5.41</v>
      </c>
      <c r="L1242" s="431">
        <v>5.3</v>
      </c>
      <c r="M1242" s="431">
        <v>5.24</v>
      </c>
      <c r="N1242" s="431">
        <v>4.9400000000000004</v>
      </c>
      <c r="O1242" s="431">
        <v>4.3099999999999996</v>
      </c>
      <c r="P1242" s="431">
        <v>3.88</v>
      </c>
      <c r="Q1242" s="179">
        <f t="shared" si="37"/>
        <v>5.0125000000000002</v>
      </c>
      <c r="R1242" s="179" t="s">
        <v>993</v>
      </c>
    </row>
    <row r="1243" spans="1:18" x14ac:dyDescent="0.15">
      <c r="A1243" s="179" t="str">
        <f t="shared" si="36"/>
        <v>Mexicali_Optimal Year Round_270</v>
      </c>
      <c r="B1243" s="501" t="s">
        <v>1000</v>
      </c>
      <c r="C1243" s="429">
        <v>33</v>
      </c>
      <c r="D1243" s="429">
        <v>270</v>
      </c>
      <c r="E1243" s="431">
        <v>3.63</v>
      </c>
      <c r="F1243" s="431">
        <v>4.12</v>
      </c>
      <c r="G1243" s="431">
        <v>4.91</v>
      </c>
      <c r="H1243" s="431">
        <v>5.18</v>
      </c>
      <c r="I1243" s="431">
        <v>5.31</v>
      </c>
      <c r="J1243" s="431">
        <v>5.26</v>
      </c>
      <c r="K1243" s="431">
        <v>4.9400000000000004</v>
      </c>
      <c r="L1243" s="431">
        <v>4.8499999999999996</v>
      </c>
      <c r="M1243" s="431">
        <v>4.79</v>
      </c>
      <c r="N1243" s="431">
        <v>4.51</v>
      </c>
      <c r="O1243" s="431">
        <v>3.94</v>
      </c>
      <c r="P1243" s="431">
        <v>3.54</v>
      </c>
      <c r="Q1243" s="179">
        <f t="shared" si="37"/>
        <v>4.5816666666666661</v>
      </c>
      <c r="R1243" s="179" t="s">
        <v>993</v>
      </c>
    </row>
    <row r="1244" spans="1:18" x14ac:dyDescent="0.15">
      <c r="A1244" s="179" t="str">
        <f t="shared" si="36"/>
        <v>Miguel Hidalgo_Flat Surface_90</v>
      </c>
      <c r="B1244" s="501" t="s">
        <v>1001</v>
      </c>
      <c r="C1244" s="429">
        <v>0</v>
      </c>
      <c r="D1244" s="429">
        <v>90</v>
      </c>
      <c r="E1244" s="431">
        <v>4.74</v>
      </c>
      <c r="F1244" s="431">
        <v>5.68</v>
      </c>
      <c r="G1244" s="431">
        <v>6.47</v>
      </c>
      <c r="H1244" s="431">
        <v>6.38</v>
      </c>
      <c r="I1244" s="431">
        <v>6.21</v>
      </c>
      <c r="J1244" s="431">
        <v>5.57</v>
      </c>
      <c r="K1244" s="431">
        <v>5.48</v>
      </c>
      <c r="L1244" s="431">
        <v>5.31</v>
      </c>
      <c r="M1244" s="431">
        <v>4.88</v>
      </c>
      <c r="N1244" s="431">
        <v>4.87</v>
      </c>
      <c r="O1244" s="431">
        <v>4.7699999999999996</v>
      </c>
      <c r="P1244" s="431">
        <v>4.34</v>
      </c>
      <c r="Q1244" s="179">
        <f t="shared" si="37"/>
        <v>5.3916666666666666</v>
      </c>
      <c r="R1244" s="179" t="s">
        <v>994</v>
      </c>
    </row>
    <row r="1245" spans="1:18" x14ac:dyDescent="0.15">
      <c r="A1245" s="179" t="str">
        <f t="shared" si="36"/>
        <v>Miguel Hidalgo_Flat Surface_112.5</v>
      </c>
      <c r="B1245" s="501" t="s">
        <v>1001</v>
      </c>
      <c r="C1245" s="429">
        <v>0</v>
      </c>
      <c r="D1245" s="429">
        <v>112.5</v>
      </c>
      <c r="E1245" s="431">
        <v>4.74</v>
      </c>
      <c r="F1245" s="431">
        <v>5.68</v>
      </c>
      <c r="G1245" s="431">
        <v>6.47</v>
      </c>
      <c r="H1245" s="431">
        <v>6.38</v>
      </c>
      <c r="I1245" s="431">
        <v>6.21</v>
      </c>
      <c r="J1245" s="431">
        <v>5.57</v>
      </c>
      <c r="K1245" s="431">
        <v>5.48</v>
      </c>
      <c r="L1245" s="431">
        <v>5.31</v>
      </c>
      <c r="M1245" s="431">
        <v>4.88</v>
      </c>
      <c r="N1245" s="431">
        <v>4.87</v>
      </c>
      <c r="O1245" s="431">
        <v>4.7699999999999996</v>
      </c>
      <c r="P1245" s="431">
        <v>4.34</v>
      </c>
      <c r="Q1245" s="179">
        <f t="shared" si="37"/>
        <v>5.3916666666666666</v>
      </c>
      <c r="R1245" s="179" t="s">
        <v>994</v>
      </c>
    </row>
    <row r="1246" spans="1:18" x14ac:dyDescent="0.15">
      <c r="A1246" s="179" t="str">
        <f t="shared" si="36"/>
        <v>Miguel Hidalgo_Flat Surface_135</v>
      </c>
      <c r="B1246" s="501" t="s">
        <v>1001</v>
      </c>
      <c r="C1246" s="429">
        <v>0</v>
      </c>
      <c r="D1246" s="429">
        <v>135</v>
      </c>
      <c r="E1246" s="431">
        <v>4.74</v>
      </c>
      <c r="F1246" s="431">
        <v>5.68</v>
      </c>
      <c r="G1246" s="431">
        <v>6.47</v>
      </c>
      <c r="H1246" s="431">
        <v>6.38</v>
      </c>
      <c r="I1246" s="431">
        <v>6.21</v>
      </c>
      <c r="J1246" s="431">
        <v>5.57</v>
      </c>
      <c r="K1246" s="431">
        <v>5.48</v>
      </c>
      <c r="L1246" s="431">
        <v>5.31</v>
      </c>
      <c r="M1246" s="431">
        <v>4.88</v>
      </c>
      <c r="N1246" s="431">
        <v>4.87</v>
      </c>
      <c r="O1246" s="431">
        <v>4.7699999999999996</v>
      </c>
      <c r="P1246" s="431">
        <v>4.34</v>
      </c>
      <c r="Q1246" s="179">
        <f t="shared" si="37"/>
        <v>5.3916666666666666</v>
      </c>
      <c r="R1246" s="179" t="s">
        <v>994</v>
      </c>
    </row>
    <row r="1247" spans="1:18" x14ac:dyDescent="0.15">
      <c r="A1247" s="179" t="str">
        <f t="shared" si="36"/>
        <v>Miguel Hidalgo_Flat Surface_157.5</v>
      </c>
      <c r="B1247" s="501" t="s">
        <v>1001</v>
      </c>
      <c r="C1247" s="429">
        <v>0</v>
      </c>
      <c r="D1247" s="429">
        <v>157.5</v>
      </c>
      <c r="E1247" s="431">
        <v>4.74</v>
      </c>
      <c r="F1247" s="431">
        <v>5.68</v>
      </c>
      <c r="G1247" s="431">
        <v>6.47</v>
      </c>
      <c r="H1247" s="431">
        <v>6.38</v>
      </c>
      <c r="I1247" s="431">
        <v>6.21</v>
      </c>
      <c r="J1247" s="431">
        <v>5.57</v>
      </c>
      <c r="K1247" s="431">
        <v>5.48</v>
      </c>
      <c r="L1247" s="431">
        <v>5.31</v>
      </c>
      <c r="M1247" s="431">
        <v>4.88</v>
      </c>
      <c r="N1247" s="431">
        <v>4.87</v>
      </c>
      <c r="O1247" s="431">
        <v>4.7699999999999996</v>
      </c>
      <c r="P1247" s="431">
        <v>4.34</v>
      </c>
      <c r="Q1247" s="179">
        <f t="shared" si="37"/>
        <v>5.3916666666666666</v>
      </c>
      <c r="R1247" s="179" t="s">
        <v>994</v>
      </c>
    </row>
    <row r="1248" spans="1:18" x14ac:dyDescent="0.15">
      <c r="A1248" s="179" t="str">
        <f t="shared" si="36"/>
        <v>Miguel Hidalgo_Flat Surface_180</v>
      </c>
      <c r="B1248" s="501" t="s">
        <v>1001</v>
      </c>
      <c r="C1248" s="429">
        <v>0</v>
      </c>
      <c r="D1248" s="429">
        <v>180</v>
      </c>
      <c r="E1248" s="431">
        <v>4.74</v>
      </c>
      <c r="F1248" s="431">
        <v>5.68</v>
      </c>
      <c r="G1248" s="431">
        <v>6.47</v>
      </c>
      <c r="H1248" s="431">
        <v>6.38</v>
      </c>
      <c r="I1248" s="431">
        <v>6.21</v>
      </c>
      <c r="J1248" s="431">
        <v>5.57</v>
      </c>
      <c r="K1248" s="431">
        <v>5.48</v>
      </c>
      <c r="L1248" s="431">
        <v>5.31</v>
      </c>
      <c r="M1248" s="431">
        <v>4.88</v>
      </c>
      <c r="N1248" s="431">
        <v>4.87</v>
      </c>
      <c r="O1248" s="431">
        <v>4.7699999999999996</v>
      </c>
      <c r="P1248" s="431">
        <v>4.34</v>
      </c>
      <c r="Q1248" s="179">
        <f t="shared" si="37"/>
        <v>5.3916666666666666</v>
      </c>
      <c r="R1248" s="179" t="s">
        <v>994</v>
      </c>
    </row>
    <row r="1249" spans="1:18" x14ac:dyDescent="0.15">
      <c r="A1249" s="179" t="str">
        <f t="shared" si="36"/>
        <v>Miguel Hidalgo_Flat Surface_202.5</v>
      </c>
      <c r="B1249" s="501" t="s">
        <v>1001</v>
      </c>
      <c r="C1249" s="429">
        <v>0</v>
      </c>
      <c r="D1249" s="429">
        <v>202.5</v>
      </c>
      <c r="E1249" s="431">
        <v>4.74</v>
      </c>
      <c r="F1249" s="431">
        <v>5.68</v>
      </c>
      <c r="G1249" s="431">
        <v>6.47</v>
      </c>
      <c r="H1249" s="431">
        <v>6.38</v>
      </c>
      <c r="I1249" s="431">
        <v>6.21</v>
      </c>
      <c r="J1249" s="431">
        <v>5.57</v>
      </c>
      <c r="K1249" s="431">
        <v>5.48</v>
      </c>
      <c r="L1249" s="431">
        <v>5.31</v>
      </c>
      <c r="M1249" s="431">
        <v>4.88</v>
      </c>
      <c r="N1249" s="431">
        <v>4.87</v>
      </c>
      <c r="O1249" s="431">
        <v>4.7699999999999996</v>
      </c>
      <c r="P1249" s="431">
        <v>4.34</v>
      </c>
      <c r="Q1249" s="179">
        <f t="shared" si="37"/>
        <v>5.3916666666666666</v>
      </c>
      <c r="R1249" s="179" t="s">
        <v>994</v>
      </c>
    </row>
    <row r="1250" spans="1:18" x14ac:dyDescent="0.15">
      <c r="A1250" s="179" t="str">
        <f t="shared" si="36"/>
        <v>Miguel Hidalgo_Flat Surface_225</v>
      </c>
      <c r="B1250" s="501" t="s">
        <v>1001</v>
      </c>
      <c r="C1250" s="429">
        <v>0</v>
      </c>
      <c r="D1250" s="429">
        <v>225</v>
      </c>
      <c r="E1250" s="431">
        <v>4.74</v>
      </c>
      <c r="F1250" s="431">
        <v>5.68</v>
      </c>
      <c r="G1250" s="431">
        <v>6.47</v>
      </c>
      <c r="H1250" s="431">
        <v>6.38</v>
      </c>
      <c r="I1250" s="431">
        <v>6.21</v>
      </c>
      <c r="J1250" s="431">
        <v>5.57</v>
      </c>
      <c r="K1250" s="431">
        <v>5.48</v>
      </c>
      <c r="L1250" s="431">
        <v>5.31</v>
      </c>
      <c r="M1250" s="431">
        <v>4.88</v>
      </c>
      <c r="N1250" s="431">
        <v>4.87</v>
      </c>
      <c r="O1250" s="431">
        <v>4.7699999999999996</v>
      </c>
      <c r="P1250" s="431">
        <v>4.34</v>
      </c>
      <c r="Q1250" s="179">
        <f t="shared" si="37"/>
        <v>5.3916666666666666</v>
      </c>
      <c r="R1250" s="179" t="s">
        <v>994</v>
      </c>
    </row>
    <row r="1251" spans="1:18" x14ac:dyDescent="0.15">
      <c r="A1251" s="179" t="str">
        <f t="shared" si="36"/>
        <v>Miguel Hidalgo_Flat Surface_247.5</v>
      </c>
      <c r="B1251" s="501" t="s">
        <v>1001</v>
      </c>
      <c r="C1251" s="429">
        <v>0</v>
      </c>
      <c r="D1251" s="429">
        <v>247.5</v>
      </c>
      <c r="E1251" s="431">
        <v>4.74</v>
      </c>
      <c r="F1251" s="431">
        <v>5.68</v>
      </c>
      <c r="G1251" s="431">
        <v>6.47</v>
      </c>
      <c r="H1251" s="431">
        <v>6.38</v>
      </c>
      <c r="I1251" s="431">
        <v>6.21</v>
      </c>
      <c r="J1251" s="431">
        <v>5.57</v>
      </c>
      <c r="K1251" s="431">
        <v>5.48</v>
      </c>
      <c r="L1251" s="431">
        <v>5.31</v>
      </c>
      <c r="M1251" s="431">
        <v>4.88</v>
      </c>
      <c r="N1251" s="431">
        <v>4.87</v>
      </c>
      <c r="O1251" s="431">
        <v>4.7699999999999996</v>
      </c>
      <c r="P1251" s="431">
        <v>4.34</v>
      </c>
      <c r="Q1251" s="179">
        <f t="shared" si="37"/>
        <v>5.3916666666666666</v>
      </c>
      <c r="R1251" s="179" t="s">
        <v>994</v>
      </c>
    </row>
    <row r="1252" spans="1:18" x14ac:dyDescent="0.15">
      <c r="A1252" s="179" t="str">
        <f t="shared" si="36"/>
        <v>Miguel Hidalgo_Flat Surface_270</v>
      </c>
      <c r="B1252" s="501" t="s">
        <v>1001</v>
      </c>
      <c r="C1252" s="429">
        <v>0</v>
      </c>
      <c r="D1252" s="429">
        <v>270</v>
      </c>
      <c r="E1252" s="431">
        <v>4.74</v>
      </c>
      <c r="F1252" s="431">
        <v>5.68</v>
      </c>
      <c r="G1252" s="431">
        <v>6.47</v>
      </c>
      <c r="H1252" s="431">
        <v>6.38</v>
      </c>
      <c r="I1252" s="431">
        <v>6.21</v>
      </c>
      <c r="J1252" s="431">
        <v>5.57</v>
      </c>
      <c r="K1252" s="431">
        <v>5.48</v>
      </c>
      <c r="L1252" s="431">
        <v>5.31</v>
      </c>
      <c r="M1252" s="431">
        <v>4.88</v>
      </c>
      <c r="N1252" s="431">
        <v>4.87</v>
      </c>
      <c r="O1252" s="431">
        <v>4.7699999999999996</v>
      </c>
      <c r="P1252" s="431">
        <v>4.34</v>
      </c>
      <c r="Q1252" s="179">
        <f t="shared" si="37"/>
        <v>5.3916666666666666</v>
      </c>
      <c r="R1252" s="179" t="s">
        <v>994</v>
      </c>
    </row>
    <row r="1253" spans="1:18" x14ac:dyDescent="0.15">
      <c r="A1253" s="179" t="str">
        <f t="shared" si="36"/>
        <v>Miguel Hidalgo_Optimal Summer_90</v>
      </c>
      <c r="B1253" s="501" t="s">
        <v>1001</v>
      </c>
      <c r="C1253" s="429">
        <v>4</v>
      </c>
      <c r="D1253" s="429">
        <v>90</v>
      </c>
      <c r="E1253" s="431">
        <v>4</v>
      </c>
      <c r="F1253" s="431">
        <v>4.72</v>
      </c>
      <c r="G1253" s="431">
        <v>5.29</v>
      </c>
      <c r="H1253" s="431">
        <v>5.13</v>
      </c>
      <c r="I1253" s="431">
        <v>4.93</v>
      </c>
      <c r="J1253" s="431">
        <v>4.49</v>
      </c>
      <c r="K1253" s="431">
        <v>4.41</v>
      </c>
      <c r="L1253" s="431">
        <v>4.25</v>
      </c>
      <c r="M1253" s="431">
        <v>3.94</v>
      </c>
      <c r="N1253" s="431">
        <v>4</v>
      </c>
      <c r="O1253" s="431">
        <v>4</v>
      </c>
      <c r="P1253" s="431">
        <v>3.66</v>
      </c>
      <c r="Q1253" s="179">
        <f t="shared" si="37"/>
        <v>4.4016666666666664</v>
      </c>
      <c r="R1253" s="179" t="s">
        <v>958</v>
      </c>
    </row>
    <row r="1254" spans="1:18" x14ac:dyDescent="0.15">
      <c r="A1254" s="179" t="str">
        <f t="shared" si="36"/>
        <v>Miguel Hidalgo_Optimal Summer_112.5</v>
      </c>
      <c r="B1254" s="501" t="s">
        <v>1001</v>
      </c>
      <c r="C1254" s="429">
        <v>4</v>
      </c>
      <c r="D1254" s="429">
        <v>112.5</v>
      </c>
      <c r="E1254" s="431">
        <v>4.38</v>
      </c>
      <c r="F1254" s="431">
        <v>5.16</v>
      </c>
      <c r="G1254" s="431">
        <v>5.78</v>
      </c>
      <c r="H1254" s="431">
        <v>5.61</v>
      </c>
      <c r="I1254" s="431">
        <v>5.39</v>
      </c>
      <c r="J1254" s="431">
        <v>4.91</v>
      </c>
      <c r="K1254" s="431">
        <v>4.82</v>
      </c>
      <c r="L1254" s="431">
        <v>4.6500000000000004</v>
      </c>
      <c r="M1254" s="431">
        <v>4.3099999999999996</v>
      </c>
      <c r="N1254" s="431">
        <v>4.38</v>
      </c>
      <c r="O1254" s="431">
        <v>4.38</v>
      </c>
      <c r="P1254" s="431">
        <v>4</v>
      </c>
      <c r="Q1254" s="179">
        <f t="shared" si="37"/>
        <v>4.8141666666666669</v>
      </c>
      <c r="R1254" s="179" t="s">
        <v>958</v>
      </c>
    </row>
    <row r="1255" spans="1:18" x14ac:dyDescent="0.15">
      <c r="A1255" s="179" t="str">
        <f t="shared" si="36"/>
        <v>Miguel Hidalgo_Optimal Summer_135</v>
      </c>
      <c r="B1255" s="501" t="s">
        <v>1001</v>
      </c>
      <c r="C1255" s="429">
        <v>4</v>
      </c>
      <c r="D1255" s="429">
        <v>135</v>
      </c>
      <c r="E1255" s="431">
        <v>4.75</v>
      </c>
      <c r="F1255" s="431">
        <v>5.6</v>
      </c>
      <c r="G1255" s="431">
        <v>6.28</v>
      </c>
      <c r="H1255" s="431">
        <v>6.09</v>
      </c>
      <c r="I1255" s="431">
        <v>5.85</v>
      </c>
      <c r="J1255" s="431">
        <v>5.33</v>
      </c>
      <c r="K1255" s="431">
        <v>5.23</v>
      </c>
      <c r="L1255" s="431">
        <v>5.04</v>
      </c>
      <c r="M1255" s="431">
        <v>4.68</v>
      </c>
      <c r="N1255" s="431">
        <v>4.75</v>
      </c>
      <c r="O1255" s="431">
        <v>4.75</v>
      </c>
      <c r="P1255" s="431">
        <v>4.34</v>
      </c>
      <c r="Q1255" s="179">
        <f t="shared" si="37"/>
        <v>5.2241666666666662</v>
      </c>
      <c r="R1255" s="179" t="s">
        <v>958</v>
      </c>
    </row>
    <row r="1256" spans="1:18" x14ac:dyDescent="0.15">
      <c r="A1256" s="179" t="str">
        <f t="shared" si="36"/>
        <v>Miguel Hidalgo_Optimal Summer_157.5</v>
      </c>
      <c r="B1256" s="501" t="s">
        <v>1001</v>
      </c>
      <c r="C1256" s="429">
        <v>4</v>
      </c>
      <c r="D1256" s="429">
        <v>157.5</v>
      </c>
      <c r="E1256" s="431">
        <v>4.88</v>
      </c>
      <c r="F1256" s="431">
        <v>5.75</v>
      </c>
      <c r="G1256" s="431">
        <v>6.44</v>
      </c>
      <c r="H1256" s="431">
        <v>6.25</v>
      </c>
      <c r="I1256" s="431">
        <v>6.01</v>
      </c>
      <c r="J1256" s="431">
        <v>5.47</v>
      </c>
      <c r="K1256" s="431">
        <v>5.37</v>
      </c>
      <c r="L1256" s="431">
        <v>5.18</v>
      </c>
      <c r="M1256" s="431">
        <v>4.8099999999999996</v>
      </c>
      <c r="N1256" s="431">
        <v>4.88</v>
      </c>
      <c r="O1256" s="431">
        <v>4.88</v>
      </c>
      <c r="P1256" s="431">
        <v>4.46</v>
      </c>
      <c r="Q1256" s="179">
        <f t="shared" si="37"/>
        <v>5.3649999999999993</v>
      </c>
      <c r="R1256" s="179" t="s">
        <v>958</v>
      </c>
    </row>
    <row r="1257" spans="1:18" x14ac:dyDescent="0.15">
      <c r="A1257" s="179" t="str">
        <f t="shared" si="36"/>
        <v>Miguel Hidalgo_Optimal Summer_180</v>
      </c>
      <c r="B1257" s="501" t="s">
        <v>1001</v>
      </c>
      <c r="C1257" s="429">
        <v>4</v>
      </c>
      <c r="D1257" s="429">
        <v>180</v>
      </c>
      <c r="E1257" s="431">
        <v>5</v>
      </c>
      <c r="F1257" s="431">
        <v>5.9</v>
      </c>
      <c r="G1257" s="431">
        <v>6.61</v>
      </c>
      <c r="H1257" s="431">
        <v>6.41</v>
      </c>
      <c r="I1257" s="431">
        <v>6.16</v>
      </c>
      <c r="J1257" s="431">
        <v>5.61</v>
      </c>
      <c r="K1257" s="431">
        <v>5.51</v>
      </c>
      <c r="L1257" s="431">
        <v>5.31</v>
      </c>
      <c r="M1257" s="431">
        <v>4.93</v>
      </c>
      <c r="N1257" s="431">
        <v>5</v>
      </c>
      <c r="O1257" s="431">
        <v>5</v>
      </c>
      <c r="P1257" s="431">
        <v>4.57</v>
      </c>
      <c r="Q1257" s="179">
        <f t="shared" si="37"/>
        <v>5.5008333333333335</v>
      </c>
      <c r="R1257" s="179" t="s">
        <v>958</v>
      </c>
    </row>
    <row r="1258" spans="1:18" x14ac:dyDescent="0.15">
      <c r="A1258" s="179" t="str">
        <f t="shared" si="36"/>
        <v>Miguel Hidalgo_Optimal Summer_202.5</v>
      </c>
      <c r="B1258" s="501" t="s">
        <v>1001</v>
      </c>
      <c r="C1258" s="429">
        <v>4</v>
      </c>
      <c r="D1258" s="429">
        <v>202.5</v>
      </c>
      <c r="E1258" s="431">
        <v>4.88</v>
      </c>
      <c r="F1258" s="431">
        <v>5.75</v>
      </c>
      <c r="G1258" s="431">
        <v>6.44</v>
      </c>
      <c r="H1258" s="431">
        <v>6.25</v>
      </c>
      <c r="I1258" s="431">
        <v>6.01</v>
      </c>
      <c r="J1258" s="431">
        <v>5.47</v>
      </c>
      <c r="K1258" s="431">
        <v>5.37</v>
      </c>
      <c r="L1258" s="431">
        <v>5.18</v>
      </c>
      <c r="M1258" s="431">
        <v>4.8099999999999996</v>
      </c>
      <c r="N1258" s="431">
        <v>4.88</v>
      </c>
      <c r="O1258" s="431">
        <v>4.88</v>
      </c>
      <c r="P1258" s="431">
        <v>4.46</v>
      </c>
      <c r="Q1258" s="179">
        <f t="shared" si="37"/>
        <v>5.3649999999999993</v>
      </c>
      <c r="R1258" s="179" t="s">
        <v>958</v>
      </c>
    </row>
    <row r="1259" spans="1:18" x14ac:dyDescent="0.15">
      <c r="A1259" s="179" t="str">
        <f t="shared" si="36"/>
        <v>Miguel Hidalgo_Optimal Summer_225</v>
      </c>
      <c r="B1259" s="501" t="s">
        <v>1001</v>
      </c>
      <c r="C1259" s="429">
        <v>4</v>
      </c>
      <c r="D1259" s="429">
        <v>225</v>
      </c>
      <c r="E1259" s="431">
        <v>4.75</v>
      </c>
      <c r="F1259" s="431">
        <v>5.6</v>
      </c>
      <c r="G1259" s="431">
        <v>6.28</v>
      </c>
      <c r="H1259" s="431">
        <v>6.09</v>
      </c>
      <c r="I1259" s="431">
        <v>5.85</v>
      </c>
      <c r="J1259" s="431">
        <v>5.33</v>
      </c>
      <c r="K1259" s="431">
        <v>5.23</v>
      </c>
      <c r="L1259" s="431">
        <v>5.04</v>
      </c>
      <c r="M1259" s="431">
        <v>4.68</v>
      </c>
      <c r="N1259" s="431">
        <v>4.75</v>
      </c>
      <c r="O1259" s="431">
        <v>4.75</v>
      </c>
      <c r="P1259" s="431">
        <v>4.34</v>
      </c>
      <c r="Q1259" s="179">
        <f t="shared" si="37"/>
        <v>5.2241666666666662</v>
      </c>
      <c r="R1259" s="179" t="s">
        <v>958</v>
      </c>
    </row>
    <row r="1260" spans="1:18" x14ac:dyDescent="0.15">
      <c r="A1260" s="179" t="str">
        <f t="shared" si="36"/>
        <v>Miguel Hidalgo_Optimal Summer_247.5</v>
      </c>
      <c r="B1260" s="501" t="s">
        <v>1001</v>
      </c>
      <c r="C1260" s="429">
        <v>4</v>
      </c>
      <c r="D1260" s="429">
        <v>247.5</v>
      </c>
      <c r="E1260" s="431">
        <v>4.38</v>
      </c>
      <c r="F1260" s="431">
        <v>5.16</v>
      </c>
      <c r="G1260" s="431">
        <v>5.78</v>
      </c>
      <c r="H1260" s="431">
        <v>5.61</v>
      </c>
      <c r="I1260" s="431">
        <v>5.39</v>
      </c>
      <c r="J1260" s="431">
        <v>4.91</v>
      </c>
      <c r="K1260" s="431">
        <v>4.82</v>
      </c>
      <c r="L1260" s="431">
        <v>4.6500000000000004</v>
      </c>
      <c r="M1260" s="431">
        <v>4.3099999999999996</v>
      </c>
      <c r="N1260" s="431">
        <v>4.38</v>
      </c>
      <c r="O1260" s="431">
        <v>4.38</v>
      </c>
      <c r="P1260" s="431">
        <v>4</v>
      </c>
      <c r="Q1260" s="179">
        <f t="shared" si="37"/>
        <v>4.8141666666666669</v>
      </c>
      <c r="R1260" s="179" t="s">
        <v>958</v>
      </c>
    </row>
    <row r="1261" spans="1:18" x14ac:dyDescent="0.15">
      <c r="A1261" s="179" t="str">
        <f t="shared" si="36"/>
        <v>Miguel Hidalgo_Optimal Summer_270</v>
      </c>
      <c r="B1261" s="501" t="s">
        <v>1001</v>
      </c>
      <c r="C1261" s="429">
        <v>4</v>
      </c>
      <c r="D1261" s="429">
        <v>270</v>
      </c>
      <c r="E1261" s="431">
        <v>4</v>
      </c>
      <c r="F1261" s="431">
        <v>4.72</v>
      </c>
      <c r="G1261" s="431">
        <v>5.29</v>
      </c>
      <c r="H1261" s="431">
        <v>5.13</v>
      </c>
      <c r="I1261" s="431">
        <v>4.93</v>
      </c>
      <c r="J1261" s="431">
        <v>4.49</v>
      </c>
      <c r="K1261" s="431">
        <v>4.41</v>
      </c>
      <c r="L1261" s="431">
        <v>4.25</v>
      </c>
      <c r="M1261" s="431">
        <v>3.94</v>
      </c>
      <c r="N1261" s="431">
        <v>4</v>
      </c>
      <c r="O1261" s="431">
        <v>4</v>
      </c>
      <c r="P1261" s="431">
        <v>3.66</v>
      </c>
      <c r="Q1261" s="179">
        <f t="shared" si="37"/>
        <v>4.4016666666666664</v>
      </c>
      <c r="R1261" s="179" t="s">
        <v>958</v>
      </c>
    </row>
    <row r="1262" spans="1:18" x14ac:dyDescent="0.15">
      <c r="A1262" s="179" t="str">
        <f t="shared" si="36"/>
        <v>Miguel Hidalgo_Optimal Year Round_90</v>
      </c>
      <c r="B1262" s="501" t="s">
        <v>1001</v>
      </c>
      <c r="C1262" s="429">
        <v>19</v>
      </c>
      <c r="D1262" s="429">
        <v>90</v>
      </c>
      <c r="E1262" s="431">
        <v>4.62</v>
      </c>
      <c r="F1262" s="431">
        <v>5.21</v>
      </c>
      <c r="G1262" s="431">
        <v>5.5</v>
      </c>
      <c r="H1262" s="431">
        <v>5.03</v>
      </c>
      <c r="I1262" s="431">
        <v>4.63</v>
      </c>
      <c r="J1262" s="431">
        <v>4.47</v>
      </c>
      <c r="K1262" s="431">
        <v>4.37</v>
      </c>
      <c r="L1262" s="431">
        <v>4.1100000000000003</v>
      </c>
      <c r="M1262" s="431">
        <v>3.98</v>
      </c>
      <c r="N1262" s="431">
        <v>4.26</v>
      </c>
      <c r="O1262" s="431">
        <v>4.54</v>
      </c>
      <c r="P1262" s="431">
        <v>4.2300000000000004</v>
      </c>
      <c r="Q1262" s="179">
        <f t="shared" si="37"/>
        <v>4.5791666666666657</v>
      </c>
      <c r="R1262" s="179" t="s">
        <v>993</v>
      </c>
    </row>
    <row r="1263" spans="1:18" x14ac:dyDescent="0.15">
      <c r="A1263" s="179" t="str">
        <f t="shared" si="36"/>
        <v>Miguel Hidalgo_Optimal Year Round_112.5</v>
      </c>
      <c r="B1263" s="501" t="s">
        <v>1001</v>
      </c>
      <c r="C1263" s="429">
        <v>19</v>
      </c>
      <c r="D1263" s="429">
        <v>112.5</v>
      </c>
      <c r="E1263" s="431">
        <v>5.0599999999999996</v>
      </c>
      <c r="F1263" s="431">
        <v>5.7</v>
      </c>
      <c r="G1263" s="431">
        <v>6.02</v>
      </c>
      <c r="H1263" s="431">
        <v>5.5</v>
      </c>
      <c r="I1263" s="431">
        <v>5.07</v>
      </c>
      <c r="J1263" s="431">
        <v>4.8899999999999997</v>
      </c>
      <c r="K1263" s="431">
        <v>4.78</v>
      </c>
      <c r="L1263" s="431">
        <v>4.5</v>
      </c>
      <c r="M1263" s="431">
        <v>4.3499999999999996</v>
      </c>
      <c r="N1263" s="431">
        <v>4.66</v>
      </c>
      <c r="O1263" s="431">
        <v>4.97</v>
      </c>
      <c r="P1263" s="431">
        <v>4.63</v>
      </c>
      <c r="Q1263" s="179">
        <f t="shared" si="37"/>
        <v>5.0108333333333333</v>
      </c>
      <c r="R1263" s="179" t="s">
        <v>993</v>
      </c>
    </row>
    <row r="1264" spans="1:18" x14ac:dyDescent="0.15">
      <c r="A1264" s="179" t="str">
        <f t="shared" si="36"/>
        <v>Miguel Hidalgo_Optimal Year Round_135</v>
      </c>
      <c r="B1264" s="501" t="s">
        <v>1001</v>
      </c>
      <c r="C1264" s="429">
        <v>19</v>
      </c>
      <c r="D1264" s="429">
        <v>135</v>
      </c>
      <c r="E1264" s="431">
        <v>5.49</v>
      </c>
      <c r="F1264" s="431">
        <v>6.18</v>
      </c>
      <c r="G1264" s="431">
        <v>6.54</v>
      </c>
      <c r="H1264" s="431">
        <v>5.98</v>
      </c>
      <c r="I1264" s="431">
        <v>5.5</v>
      </c>
      <c r="J1264" s="431">
        <v>5.31</v>
      </c>
      <c r="K1264" s="431">
        <v>5.19</v>
      </c>
      <c r="L1264" s="431">
        <v>4.88</v>
      </c>
      <c r="M1264" s="431">
        <v>4.72</v>
      </c>
      <c r="N1264" s="431">
        <v>5.0599999999999996</v>
      </c>
      <c r="O1264" s="431">
        <v>5.4</v>
      </c>
      <c r="P1264" s="431">
        <v>5.03</v>
      </c>
      <c r="Q1264" s="179">
        <f t="shared" si="37"/>
        <v>5.44</v>
      </c>
      <c r="R1264" s="179" t="s">
        <v>993</v>
      </c>
    </row>
    <row r="1265" spans="1:18" x14ac:dyDescent="0.15">
      <c r="A1265" s="179" t="str">
        <f t="shared" si="36"/>
        <v>Miguel Hidalgo_Optimal Year Round_157.5</v>
      </c>
      <c r="B1265" s="501" t="s">
        <v>1001</v>
      </c>
      <c r="C1265" s="429">
        <v>19</v>
      </c>
      <c r="D1265" s="429">
        <v>157.5</v>
      </c>
      <c r="E1265" s="431">
        <v>5.64</v>
      </c>
      <c r="F1265" s="431">
        <v>6.35</v>
      </c>
      <c r="G1265" s="431">
        <v>6.71</v>
      </c>
      <c r="H1265" s="431">
        <v>6.13</v>
      </c>
      <c r="I1265" s="431">
        <v>5.65</v>
      </c>
      <c r="J1265" s="431">
        <v>5.45</v>
      </c>
      <c r="K1265" s="431">
        <v>5.32</v>
      </c>
      <c r="L1265" s="431">
        <v>5.01</v>
      </c>
      <c r="M1265" s="431">
        <v>4.8499999999999996</v>
      </c>
      <c r="N1265" s="431">
        <v>5.2</v>
      </c>
      <c r="O1265" s="431">
        <v>5.54</v>
      </c>
      <c r="P1265" s="431">
        <v>5.16</v>
      </c>
      <c r="Q1265" s="179">
        <f t="shared" si="37"/>
        <v>5.5841666666666674</v>
      </c>
      <c r="R1265" s="179" t="s">
        <v>993</v>
      </c>
    </row>
    <row r="1266" spans="1:18" x14ac:dyDescent="0.15">
      <c r="A1266" s="179" t="str">
        <f t="shared" si="36"/>
        <v>Miguel Hidalgo_Optimal Year Round_180</v>
      </c>
      <c r="B1266" s="501" t="s">
        <v>1001</v>
      </c>
      <c r="C1266" s="429">
        <v>19</v>
      </c>
      <c r="D1266" s="429">
        <v>180</v>
      </c>
      <c r="E1266" s="431">
        <v>5.78</v>
      </c>
      <c r="F1266" s="431">
        <v>6.51</v>
      </c>
      <c r="G1266" s="431">
        <v>6.88</v>
      </c>
      <c r="H1266" s="431">
        <v>6.29</v>
      </c>
      <c r="I1266" s="431">
        <v>5.79</v>
      </c>
      <c r="J1266" s="431">
        <v>5.59</v>
      </c>
      <c r="K1266" s="431">
        <v>5.46</v>
      </c>
      <c r="L1266" s="431">
        <v>5.14</v>
      </c>
      <c r="M1266" s="431">
        <v>4.97</v>
      </c>
      <c r="N1266" s="431">
        <v>5.33</v>
      </c>
      <c r="O1266" s="431">
        <v>5.68</v>
      </c>
      <c r="P1266" s="431">
        <v>5.29</v>
      </c>
      <c r="Q1266" s="179">
        <f t="shared" si="37"/>
        <v>5.7258333333333331</v>
      </c>
      <c r="R1266" s="179" t="s">
        <v>993</v>
      </c>
    </row>
    <row r="1267" spans="1:18" x14ac:dyDescent="0.15">
      <c r="A1267" s="179" t="str">
        <f t="shared" si="36"/>
        <v>Miguel Hidalgo_Optimal Year Round_202.5</v>
      </c>
      <c r="B1267" s="501" t="s">
        <v>1001</v>
      </c>
      <c r="C1267" s="429">
        <v>19</v>
      </c>
      <c r="D1267" s="429">
        <v>202.5</v>
      </c>
      <c r="E1267" s="431">
        <v>5.64</v>
      </c>
      <c r="F1267" s="431">
        <v>6.35</v>
      </c>
      <c r="G1267" s="431">
        <v>6.71</v>
      </c>
      <c r="H1267" s="431">
        <v>6.13</v>
      </c>
      <c r="I1267" s="431">
        <v>5.65</v>
      </c>
      <c r="J1267" s="431">
        <v>5.45</v>
      </c>
      <c r="K1267" s="431">
        <v>5.32</v>
      </c>
      <c r="L1267" s="431">
        <v>5.01</v>
      </c>
      <c r="M1267" s="431">
        <v>4.8499999999999996</v>
      </c>
      <c r="N1267" s="431">
        <v>5.2</v>
      </c>
      <c r="O1267" s="431">
        <v>5.54</v>
      </c>
      <c r="P1267" s="431">
        <v>5.16</v>
      </c>
      <c r="Q1267" s="179">
        <f t="shared" si="37"/>
        <v>5.5841666666666674</v>
      </c>
      <c r="R1267" s="179" t="s">
        <v>993</v>
      </c>
    </row>
    <row r="1268" spans="1:18" x14ac:dyDescent="0.15">
      <c r="A1268" s="179" t="str">
        <f t="shared" si="36"/>
        <v>Miguel Hidalgo_Optimal Year Round_225</v>
      </c>
      <c r="B1268" s="501" t="s">
        <v>1001</v>
      </c>
      <c r="C1268" s="429">
        <v>19</v>
      </c>
      <c r="D1268" s="429">
        <v>225</v>
      </c>
      <c r="E1268" s="431">
        <v>5.49</v>
      </c>
      <c r="F1268" s="431">
        <v>6.18</v>
      </c>
      <c r="G1268" s="431">
        <v>6.54</v>
      </c>
      <c r="H1268" s="431">
        <v>5.98</v>
      </c>
      <c r="I1268" s="431">
        <v>5.5</v>
      </c>
      <c r="J1268" s="431">
        <v>5.31</v>
      </c>
      <c r="K1268" s="431">
        <v>5.19</v>
      </c>
      <c r="L1268" s="431">
        <v>4.88</v>
      </c>
      <c r="M1268" s="431">
        <v>4.72</v>
      </c>
      <c r="N1268" s="431">
        <v>5.0599999999999996</v>
      </c>
      <c r="O1268" s="431">
        <v>5.4</v>
      </c>
      <c r="P1268" s="431">
        <v>5.03</v>
      </c>
      <c r="Q1268" s="179">
        <f t="shared" si="37"/>
        <v>5.44</v>
      </c>
      <c r="R1268" s="179" t="s">
        <v>993</v>
      </c>
    </row>
    <row r="1269" spans="1:18" x14ac:dyDescent="0.15">
      <c r="A1269" s="179" t="str">
        <f t="shared" si="36"/>
        <v>Miguel Hidalgo_Optimal Year Round_247.5</v>
      </c>
      <c r="B1269" s="501" t="s">
        <v>1001</v>
      </c>
      <c r="C1269" s="429">
        <v>19</v>
      </c>
      <c r="D1269" s="429">
        <v>247.5</v>
      </c>
      <c r="E1269" s="431">
        <v>5.0599999999999996</v>
      </c>
      <c r="F1269" s="431">
        <v>5.7</v>
      </c>
      <c r="G1269" s="431">
        <v>6.02</v>
      </c>
      <c r="H1269" s="431">
        <v>5.5</v>
      </c>
      <c r="I1269" s="431">
        <v>5.07</v>
      </c>
      <c r="J1269" s="431">
        <v>4.8899999999999997</v>
      </c>
      <c r="K1269" s="431">
        <v>4.78</v>
      </c>
      <c r="L1269" s="431">
        <v>4.5</v>
      </c>
      <c r="M1269" s="431">
        <v>4.3499999999999996</v>
      </c>
      <c r="N1269" s="431">
        <v>4.66</v>
      </c>
      <c r="O1269" s="431">
        <v>4.97</v>
      </c>
      <c r="P1269" s="431">
        <v>4.63</v>
      </c>
      <c r="Q1269" s="179">
        <f t="shared" si="37"/>
        <v>5.0108333333333333</v>
      </c>
      <c r="R1269" s="179" t="s">
        <v>993</v>
      </c>
    </row>
    <row r="1270" spans="1:18" x14ac:dyDescent="0.15">
      <c r="A1270" s="179" t="str">
        <f t="shared" si="36"/>
        <v>Miguel Hidalgo_Optimal Year Round_270</v>
      </c>
      <c r="B1270" s="501" t="s">
        <v>1001</v>
      </c>
      <c r="C1270" s="429">
        <v>19</v>
      </c>
      <c r="D1270" s="429">
        <v>270</v>
      </c>
      <c r="E1270" s="431">
        <v>4.62</v>
      </c>
      <c r="F1270" s="431">
        <v>5.21</v>
      </c>
      <c r="G1270" s="431">
        <v>5.5</v>
      </c>
      <c r="H1270" s="431">
        <v>5.03</v>
      </c>
      <c r="I1270" s="431">
        <v>4.63</v>
      </c>
      <c r="J1270" s="431">
        <v>4.47</v>
      </c>
      <c r="K1270" s="431">
        <v>4.37</v>
      </c>
      <c r="L1270" s="431">
        <v>4.1100000000000003</v>
      </c>
      <c r="M1270" s="431">
        <v>3.98</v>
      </c>
      <c r="N1270" s="431">
        <v>4.26</v>
      </c>
      <c r="O1270" s="431">
        <v>4.54</v>
      </c>
      <c r="P1270" s="431">
        <v>4.2300000000000004</v>
      </c>
      <c r="Q1270" s="179">
        <f t="shared" si="37"/>
        <v>4.5791666666666657</v>
      </c>
      <c r="R1270" s="179" t="s">
        <v>993</v>
      </c>
    </row>
    <row r="1271" spans="1:18" x14ac:dyDescent="0.15">
      <c r="A1271" s="179" t="str">
        <f t="shared" si="36"/>
        <v>Monterrey_Flat Surface_90</v>
      </c>
      <c r="B1271" s="501" t="s">
        <v>863</v>
      </c>
      <c r="C1271" s="429">
        <v>0</v>
      </c>
      <c r="D1271" s="429">
        <v>90</v>
      </c>
      <c r="E1271" s="431">
        <v>3.72</v>
      </c>
      <c r="F1271" s="431">
        <v>4.57</v>
      </c>
      <c r="G1271" s="431">
        <v>5.66</v>
      </c>
      <c r="H1271" s="431">
        <v>5.82</v>
      </c>
      <c r="I1271" s="431">
        <v>6.24</v>
      </c>
      <c r="J1271" s="431">
        <v>6.16</v>
      </c>
      <c r="K1271" s="431">
        <v>6.03</v>
      </c>
      <c r="L1271" s="431">
        <v>5.71</v>
      </c>
      <c r="M1271" s="431">
        <v>4.9800000000000004</v>
      </c>
      <c r="N1271" s="431">
        <v>4.62</v>
      </c>
      <c r="O1271" s="431">
        <v>4.07</v>
      </c>
      <c r="P1271" s="431">
        <v>3.55</v>
      </c>
      <c r="Q1271" s="179">
        <f t="shared" si="37"/>
        <v>5.0941666666666663</v>
      </c>
      <c r="R1271" s="179" t="s">
        <v>994</v>
      </c>
    </row>
    <row r="1272" spans="1:18" x14ac:dyDescent="0.15">
      <c r="A1272" s="179" t="str">
        <f t="shared" si="36"/>
        <v>Monterrey_Flat Surface_112.5</v>
      </c>
      <c r="B1272" s="501" t="s">
        <v>863</v>
      </c>
      <c r="C1272" s="429">
        <v>0</v>
      </c>
      <c r="D1272" s="429">
        <v>112.5</v>
      </c>
      <c r="E1272" s="431">
        <v>3.72</v>
      </c>
      <c r="F1272" s="431">
        <v>4.57</v>
      </c>
      <c r="G1272" s="431">
        <v>5.66</v>
      </c>
      <c r="H1272" s="431">
        <v>5.82</v>
      </c>
      <c r="I1272" s="431">
        <v>6.24</v>
      </c>
      <c r="J1272" s="431">
        <v>6.16</v>
      </c>
      <c r="K1272" s="431">
        <v>6.03</v>
      </c>
      <c r="L1272" s="431">
        <v>5.71</v>
      </c>
      <c r="M1272" s="431">
        <v>4.9800000000000004</v>
      </c>
      <c r="N1272" s="431">
        <v>4.62</v>
      </c>
      <c r="O1272" s="431">
        <v>4.07</v>
      </c>
      <c r="P1272" s="431">
        <v>3.55</v>
      </c>
      <c r="Q1272" s="179">
        <f t="shared" si="37"/>
        <v>5.0941666666666663</v>
      </c>
      <c r="R1272" s="179" t="s">
        <v>994</v>
      </c>
    </row>
    <row r="1273" spans="1:18" x14ac:dyDescent="0.15">
      <c r="A1273" s="179" t="str">
        <f t="shared" si="36"/>
        <v>Monterrey_Flat Surface_135</v>
      </c>
      <c r="B1273" s="501" t="s">
        <v>863</v>
      </c>
      <c r="C1273" s="429">
        <v>0</v>
      </c>
      <c r="D1273" s="429">
        <v>135</v>
      </c>
      <c r="E1273" s="431">
        <v>3.72</v>
      </c>
      <c r="F1273" s="431">
        <v>4.57</v>
      </c>
      <c r="G1273" s="431">
        <v>5.66</v>
      </c>
      <c r="H1273" s="431">
        <v>5.82</v>
      </c>
      <c r="I1273" s="431">
        <v>6.24</v>
      </c>
      <c r="J1273" s="431">
        <v>6.16</v>
      </c>
      <c r="K1273" s="431">
        <v>6.03</v>
      </c>
      <c r="L1273" s="431">
        <v>5.71</v>
      </c>
      <c r="M1273" s="431">
        <v>4.9800000000000004</v>
      </c>
      <c r="N1273" s="431">
        <v>4.62</v>
      </c>
      <c r="O1273" s="431">
        <v>4.07</v>
      </c>
      <c r="P1273" s="431">
        <v>3.55</v>
      </c>
      <c r="Q1273" s="179">
        <f t="shared" si="37"/>
        <v>5.0941666666666663</v>
      </c>
      <c r="R1273" s="179" t="s">
        <v>994</v>
      </c>
    </row>
    <row r="1274" spans="1:18" x14ac:dyDescent="0.15">
      <c r="A1274" s="179" t="str">
        <f t="shared" si="36"/>
        <v>Monterrey_Flat Surface_157.5</v>
      </c>
      <c r="B1274" s="501" t="s">
        <v>863</v>
      </c>
      <c r="C1274" s="429">
        <v>0</v>
      </c>
      <c r="D1274" s="429">
        <v>157.5</v>
      </c>
      <c r="E1274" s="431">
        <v>3.72</v>
      </c>
      <c r="F1274" s="431">
        <v>4.57</v>
      </c>
      <c r="G1274" s="431">
        <v>5.66</v>
      </c>
      <c r="H1274" s="431">
        <v>5.82</v>
      </c>
      <c r="I1274" s="431">
        <v>6.24</v>
      </c>
      <c r="J1274" s="431">
        <v>6.16</v>
      </c>
      <c r="K1274" s="431">
        <v>6.03</v>
      </c>
      <c r="L1274" s="431">
        <v>5.71</v>
      </c>
      <c r="M1274" s="431">
        <v>4.9800000000000004</v>
      </c>
      <c r="N1274" s="431">
        <v>4.62</v>
      </c>
      <c r="O1274" s="431">
        <v>4.07</v>
      </c>
      <c r="P1274" s="431">
        <v>3.55</v>
      </c>
      <c r="Q1274" s="179">
        <f t="shared" si="37"/>
        <v>5.0941666666666663</v>
      </c>
      <c r="R1274" s="179" t="s">
        <v>994</v>
      </c>
    </row>
    <row r="1275" spans="1:18" x14ac:dyDescent="0.15">
      <c r="A1275" s="179" t="str">
        <f t="shared" si="36"/>
        <v>Monterrey_Flat Surface_180</v>
      </c>
      <c r="B1275" s="501" t="s">
        <v>863</v>
      </c>
      <c r="C1275" s="429">
        <v>0</v>
      </c>
      <c r="D1275" s="429">
        <v>180</v>
      </c>
      <c r="E1275" s="431">
        <v>3.72</v>
      </c>
      <c r="F1275" s="431">
        <v>4.57</v>
      </c>
      <c r="G1275" s="431">
        <v>5.66</v>
      </c>
      <c r="H1275" s="431">
        <v>5.82</v>
      </c>
      <c r="I1275" s="431">
        <v>6.24</v>
      </c>
      <c r="J1275" s="431">
        <v>6.16</v>
      </c>
      <c r="K1275" s="431">
        <v>6.03</v>
      </c>
      <c r="L1275" s="431">
        <v>5.71</v>
      </c>
      <c r="M1275" s="431">
        <v>4.9800000000000004</v>
      </c>
      <c r="N1275" s="431">
        <v>4.62</v>
      </c>
      <c r="O1275" s="431">
        <v>4.07</v>
      </c>
      <c r="P1275" s="431">
        <v>3.55</v>
      </c>
      <c r="Q1275" s="179">
        <f t="shared" si="37"/>
        <v>5.0941666666666663</v>
      </c>
      <c r="R1275" s="179" t="s">
        <v>994</v>
      </c>
    </row>
    <row r="1276" spans="1:18" x14ac:dyDescent="0.15">
      <c r="A1276" s="179" t="str">
        <f t="shared" si="36"/>
        <v>Monterrey_Flat Surface_202.5</v>
      </c>
      <c r="B1276" s="501" t="s">
        <v>863</v>
      </c>
      <c r="C1276" s="429">
        <v>0</v>
      </c>
      <c r="D1276" s="429">
        <v>202.5</v>
      </c>
      <c r="E1276" s="431">
        <v>3.72</v>
      </c>
      <c r="F1276" s="431">
        <v>4.57</v>
      </c>
      <c r="G1276" s="431">
        <v>5.66</v>
      </c>
      <c r="H1276" s="431">
        <v>5.82</v>
      </c>
      <c r="I1276" s="431">
        <v>6.24</v>
      </c>
      <c r="J1276" s="431">
        <v>6.16</v>
      </c>
      <c r="K1276" s="431">
        <v>6.03</v>
      </c>
      <c r="L1276" s="431">
        <v>5.71</v>
      </c>
      <c r="M1276" s="431">
        <v>4.9800000000000004</v>
      </c>
      <c r="N1276" s="431">
        <v>4.62</v>
      </c>
      <c r="O1276" s="431">
        <v>4.07</v>
      </c>
      <c r="P1276" s="431">
        <v>3.55</v>
      </c>
      <c r="Q1276" s="179">
        <f t="shared" si="37"/>
        <v>5.0941666666666663</v>
      </c>
      <c r="R1276" s="179" t="s">
        <v>994</v>
      </c>
    </row>
    <row r="1277" spans="1:18" x14ac:dyDescent="0.15">
      <c r="A1277" s="179" t="str">
        <f t="shared" si="36"/>
        <v>Monterrey_Flat Surface_225</v>
      </c>
      <c r="B1277" s="501" t="s">
        <v>863</v>
      </c>
      <c r="C1277" s="429">
        <v>0</v>
      </c>
      <c r="D1277" s="429">
        <v>225</v>
      </c>
      <c r="E1277" s="431">
        <v>3.72</v>
      </c>
      <c r="F1277" s="431">
        <v>4.57</v>
      </c>
      <c r="G1277" s="431">
        <v>5.66</v>
      </c>
      <c r="H1277" s="431">
        <v>5.82</v>
      </c>
      <c r="I1277" s="431">
        <v>6.24</v>
      </c>
      <c r="J1277" s="431">
        <v>6.16</v>
      </c>
      <c r="K1277" s="431">
        <v>6.03</v>
      </c>
      <c r="L1277" s="431">
        <v>5.71</v>
      </c>
      <c r="M1277" s="431">
        <v>4.9800000000000004</v>
      </c>
      <c r="N1277" s="431">
        <v>4.62</v>
      </c>
      <c r="O1277" s="431">
        <v>4.07</v>
      </c>
      <c r="P1277" s="431">
        <v>3.55</v>
      </c>
      <c r="Q1277" s="179">
        <f t="shared" si="37"/>
        <v>5.0941666666666663</v>
      </c>
      <c r="R1277" s="179" t="s">
        <v>994</v>
      </c>
    </row>
    <row r="1278" spans="1:18" x14ac:dyDescent="0.15">
      <c r="A1278" s="179" t="str">
        <f t="shared" si="36"/>
        <v>Monterrey_Flat Surface_247.5</v>
      </c>
      <c r="B1278" s="501" t="s">
        <v>863</v>
      </c>
      <c r="C1278" s="429">
        <v>0</v>
      </c>
      <c r="D1278" s="429">
        <v>247.5</v>
      </c>
      <c r="E1278" s="431">
        <v>3.72</v>
      </c>
      <c r="F1278" s="431">
        <v>4.57</v>
      </c>
      <c r="G1278" s="431">
        <v>5.66</v>
      </c>
      <c r="H1278" s="431">
        <v>5.82</v>
      </c>
      <c r="I1278" s="431">
        <v>6.24</v>
      </c>
      <c r="J1278" s="431">
        <v>6.16</v>
      </c>
      <c r="K1278" s="431">
        <v>6.03</v>
      </c>
      <c r="L1278" s="431">
        <v>5.71</v>
      </c>
      <c r="M1278" s="431">
        <v>4.9800000000000004</v>
      </c>
      <c r="N1278" s="431">
        <v>4.62</v>
      </c>
      <c r="O1278" s="431">
        <v>4.07</v>
      </c>
      <c r="P1278" s="431">
        <v>3.55</v>
      </c>
      <c r="Q1278" s="179">
        <f t="shared" si="37"/>
        <v>5.0941666666666663</v>
      </c>
      <c r="R1278" s="179" t="s">
        <v>994</v>
      </c>
    </row>
    <row r="1279" spans="1:18" x14ac:dyDescent="0.15">
      <c r="A1279" s="179" t="str">
        <f t="shared" si="36"/>
        <v>Monterrey_Flat Surface_270</v>
      </c>
      <c r="B1279" s="501" t="s">
        <v>863</v>
      </c>
      <c r="C1279" s="429">
        <v>0</v>
      </c>
      <c r="D1279" s="429">
        <v>270</v>
      </c>
      <c r="E1279" s="431">
        <v>3.72</v>
      </c>
      <c r="F1279" s="431">
        <v>4.57</v>
      </c>
      <c r="G1279" s="431">
        <v>5.66</v>
      </c>
      <c r="H1279" s="431">
        <v>5.82</v>
      </c>
      <c r="I1279" s="431">
        <v>6.24</v>
      </c>
      <c r="J1279" s="431">
        <v>6.16</v>
      </c>
      <c r="K1279" s="431">
        <v>6.03</v>
      </c>
      <c r="L1279" s="431">
        <v>5.71</v>
      </c>
      <c r="M1279" s="431">
        <v>4.9800000000000004</v>
      </c>
      <c r="N1279" s="431">
        <v>4.62</v>
      </c>
      <c r="O1279" s="431">
        <v>4.07</v>
      </c>
      <c r="P1279" s="431">
        <v>3.55</v>
      </c>
      <c r="Q1279" s="179">
        <f t="shared" si="37"/>
        <v>5.0941666666666663</v>
      </c>
      <c r="R1279" s="179" t="s">
        <v>994</v>
      </c>
    </row>
    <row r="1280" spans="1:18" x14ac:dyDescent="0.15">
      <c r="A1280" s="179" t="str">
        <f t="shared" si="36"/>
        <v>Monterrey_Optimal Summer_90</v>
      </c>
      <c r="B1280" s="501" t="s">
        <v>863</v>
      </c>
      <c r="C1280" s="429">
        <v>11</v>
      </c>
      <c r="D1280" s="429">
        <v>90</v>
      </c>
      <c r="E1280" s="431">
        <v>3.39</v>
      </c>
      <c r="F1280" s="431">
        <v>4.03</v>
      </c>
      <c r="G1280" s="431">
        <v>4.79</v>
      </c>
      <c r="H1280" s="431">
        <v>4.7300000000000004</v>
      </c>
      <c r="I1280" s="431">
        <v>4.92</v>
      </c>
      <c r="J1280" s="431">
        <v>4.8099999999999996</v>
      </c>
      <c r="K1280" s="431">
        <v>4.7300000000000004</v>
      </c>
      <c r="L1280" s="431">
        <v>4.57</v>
      </c>
      <c r="M1280" s="431">
        <v>4.1100000000000003</v>
      </c>
      <c r="N1280" s="431">
        <v>4</v>
      </c>
      <c r="O1280" s="431">
        <v>3.69</v>
      </c>
      <c r="P1280" s="431">
        <v>3.28</v>
      </c>
      <c r="Q1280" s="179">
        <f t="shared" si="37"/>
        <v>4.2541666666666664</v>
      </c>
      <c r="R1280" s="179" t="s">
        <v>958</v>
      </c>
    </row>
    <row r="1281" spans="1:18" x14ac:dyDescent="0.15">
      <c r="A1281" s="179" t="str">
        <f t="shared" si="36"/>
        <v>Monterrey_Optimal Summer_112.5</v>
      </c>
      <c r="B1281" s="501" t="s">
        <v>863</v>
      </c>
      <c r="C1281" s="429">
        <v>11</v>
      </c>
      <c r="D1281" s="429">
        <v>112.5</v>
      </c>
      <c r="E1281" s="431">
        <v>3.71</v>
      </c>
      <c r="F1281" s="431">
        <v>4.41</v>
      </c>
      <c r="G1281" s="431">
        <v>5.24</v>
      </c>
      <c r="H1281" s="431">
        <v>5.17</v>
      </c>
      <c r="I1281" s="431">
        <v>5.38</v>
      </c>
      <c r="J1281" s="431">
        <v>5.26</v>
      </c>
      <c r="K1281" s="431">
        <v>5.17</v>
      </c>
      <c r="L1281" s="431">
        <v>5</v>
      </c>
      <c r="M1281" s="431">
        <v>4.5</v>
      </c>
      <c r="N1281" s="431">
        <v>4.38</v>
      </c>
      <c r="O1281" s="431">
        <v>4.03</v>
      </c>
      <c r="P1281" s="431">
        <v>3.59</v>
      </c>
      <c r="Q1281" s="179">
        <f t="shared" si="37"/>
        <v>4.6533333333333333</v>
      </c>
      <c r="R1281" s="179" t="s">
        <v>958</v>
      </c>
    </row>
    <row r="1282" spans="1:18" x14ac:dyDescent="0.15">
      <c r="A1282" s="179" t="str">
        <f t="shared" ref="A1282:A1345" si="38">B1282&amp;"_"&amp;R1282&amp;"_"&amp;D1282</f>
        <v>Monterrey_Optimal Summer_135</v>
      </c>
      <c r="B1282" s="501" t="s">
        <v>863</v>
      </c>
      <c r="C1282" s="429">
        <v>11</v>
      </c>
      <c r="D1282" s="429">
        <v>135</v>
      </c>
      <c r="E1282" s="431">
        <v>4.03</v>
      </c>
      <c r="F1282" s="431">
        <v>4.79</v>
      </c>
      <c r="G1282" s="431">
        <v>5.69</v>
      </c>
      <c r="H1282" s="431">
        <v>5.61</v>
      </c>
      <c r="I1282" s="431">
        <v>5.84</v>
      </c>
      <c r="J1282" s="431">
        <v>5.71</v>
      </c>
      <c r="K1282" s="431">
        <v>5.61</v>
      </c>
      <c r="L1282" s="431">
        <v>5.42</v>
      </c>
      <c r="M1282" s="431">
        <v>4.88</v>
      </c>
      <c r="N1282" s="431">
        <v>4.75</v>
      </c>
      <c r="O1282" s="431">
        <v>4.38</v>
      </c>
      <c r="P1282" s="431">
        <v>3.9</v>
      </c>
      <c r="Q1282" s="179">
        <f t="shared" ref="Q1282:Q1345" si="39">AVERAGE(E1282:P1282)</f>
        <v>5.0508333333333342</v>
      </c>
      <c r="R1282" s="179" t="s">
        <v>958</v>
      </c>
    </row>
    <row r="1283" spans="1:18" x14ac:dyDescent="0.15">
      <c r="A1283" s="179" t="str">
        <f t="shared" si="38"/>
        <v>Monterrey_Optimal Summer_157.5</v>
      </c>
      <c r="B1283" s="501" t="s">
        <v>863</v>
      </c>
      <c r="C1283" s="429">
        <v>11</v>
      </c>
      <c r="D1283" s="429">
        <v>157.5</v>
      </c>
      <c r="E1283" s="431">
        <v>4.13</v>
      </c>
      <c r="F1283" s="431">
        <v>4.91</v>
      </c>
      <c r="G1283" s="431">
        <v>5.84</v>
      </c>
      <c r="H1283" s="431">
        <v>5.76</v>
      </c>
      <c r="I1283" s="431">
        <v>6</v>
      </c>
      <c r="J1283" s="431">
        <v>5.86</v>
      </c>
      <c r="K1283" s="431">
        <v>5.76</v>
      </c>
      <c r="L1283" s="431">
        <v>5.57</v>
      </c>
      <c r="M1283" s="431">
        <v>5.01</v>
      </c>
      <c r="N1283" s="431">
        <v>4.88</v>
      </c>
      <c r="O1283" s="431">
        <v>4.49</v>
      </c>
      <c r="P1283" s="431">
        <v>4</v>
      </c>
      <c r="Q1283" s="179">
        <f t="shared" si="39"/>
        <v>5.184166666666667</v>
      </c>
      <c r="R1283" s="179" t="s">
        <v>958</v>
      </c>
    </row>
    <row r="1284" spans="1:18" x14ac:dyDescent="0.15">
      <c r="A1284" s="179" t="str">
        <f t="shared" si="38"/>
        <v>Monterrey_Optimal Summer_180</v>
      </c>
      <c r="B1284" s="501" t="s">
        <v>863</v>
      </c>
      <c r="C1284" s="429">
        <v>11</v>
      </c>
      <c r="D1284" s="429">
        <v>180</v>
      </c>
      <c r="E1284" s="431">
        <v>4.24</v>
      </c>
      <c r="F1284" s="431">
        <v>5.04</v>
      </c>
      <c r="G1284" s="431">
        <v>5.99</v>
      </c>
      <c r="H1284" s="431">
        <v>5.91</v>
      </c>
      <c r="I1284" s="431">
        <v>6.15</v>
      </c>
      <c r="J1284" s="431">
        <v>6.01</v>
      </c>
      <c r="K1284" s="431">
        <v>5.91</v>
      </c>
      <c r="L1284" s="431">
        <v>5.71</v>
      </c>
      <c r="M1284" s="431">
        <v>5.14</v>
      </c>
      <c r="N1284" s="431">
        <v>5</v>
      </c>
      <c r="O1284" s="431">
        <v>4.6100000000000003</v>
      </c>
      <c r="P1284" s="431">
        <v>4.0999999999999996</v>
      </c>
      <c r="Q1284" s="179">
        <f t="shared" si="39"/>
        <v>5.3174999999999999</v>
      </c>
      <c r="R1284" s="179" t="s">
        <v>958</v>
      </c>
    </row>
    <row r="1285" spans="1:18" x14ac:dyDescent="0.15">
      <c r="A1285" s="179" t="str">
        <f t="shared" si="38"/>
        <v>Monterrey_Optimal Summer_202.5</v>
      </c>
      <c r="B1285" s="501" t="s">
        <v>863</v>
      </c>
      <c r="C1285" s="429">
        <v>11</v>
      </c>
      <c r="D1285" s="429">
        <v>202.5</v>
      </c>
      <c r="E1285" s="431">
        <v>4.13</v>
      </c>
      <c r="F1285" s="431">
        <v>4.91</v>
      </c>
      <c r="G1285" s="431">
        <v>5.84</v>
      </c>
      <c r="H1285" s="431">
        <v>5.76</v>
      </c>
      <c r="I1285" s="431">
        <v>6</v>
      </c>
      <c r="J1285" s="431">
        <v>5.86</v>
      </c>
      <c r="K1285" s="431">
        <v>5.76</v>
      </c>
      <c r="L1285" s="431">
        <v>5.57</v>
      </c>
      <c r="M1285" s="431">
        <v>5.01</v>
      </c>
      <c r="N1285" s="431">
        <v>4.88</v>
      </c>
      <c r="O1285" s="431">
        <v>4.49</v>
      </c>
      <c r="P1285" s="431">
        <v>4</v>
      </c>
      <c r="Q1285" s="179">
        <f t="shared" si="39"/>
        <v>5.184166666666667</v>
      </c>
      <c r="R1285" s="179" t="s">
        <v>958</v>
      </c>
    </row>
    <row r="1286" spans="1:18" x14ac:dyDescent="0.15">
      <c r="A1286" s="179" t="str">
        <f t="shared" si="38"/>
        <v>Monterrey_Optimal Summer_225</v>
      </c>
      <c r="B1286" s="501" t="s">
        <v>863</v>
      </c>
      <c r="C1286" s="429">
        <v>11</v>
      </c>
      <c r="D1286" s="429">
        <v>225</v>
      </c>
      <c r="E1286" s="431">
        <v>4.03</v>
      </c>
      <c r="F1286" s="431">
        <v>4.79</v>
      </c>
      <c r="G1286" s="431">
        <v>5.69</v>
      </c>
      <c r="H1286" s="431">
        <v>5.61</v>
      </c>
      <c r="I1286" s="431">
        <v>5.84</v>
      </c>
      <c r="J1286" s="431">
        <v>5.71</v>
      </c>
      <c r="K1286" s="431">
        <v>5.61</v>
      </c>
      <c r="L1286" s="431">
        <v>5.42</v>
      </c>
      <c r="M1286" s="431">
        <v>4.88</v>
      </c>
      <c r="N1286" s="431">
        <v>4.75</v>
      </c>
      <c r="O1286" s="431">
        <v>4.38</v>
      </c>
      <c r="P1286" s="431">
        <v>3.9</v>
      </c>
      <c r="Q1286" s="179">
        <f t="shared" si="39"/>
        <v>5.0508333333333342</v>
      </c>
      <c r="R1286" s="179" t="s">
        <v>958</v>
      </c>
    </row>
    <row r="1287" spans="1:18" x14ac:dyDescent="0.15">
      <c r="A1287" s="179" t="str">
        <f t="shared" si="38"/>
        <v>Monterrey_Optimal Summer_247.5</v>
      </c>
      <c r="B1287" s="501" t="s">
        <v>863</v>
      </c>
      <c r="C1287" s="429">
        <v>11</v>
      </c>
      <c r="D1287" s="429">
        <v>247.5</v>
      </c>
      <c r="E1287" s="431">
        <v>3.71</v>
      </c>
      <c r="F1287" s="431">
        <v>4.41</v>
      </c>
      <c r="G1287" s="431">
        <v>5.24</v>
      </c>
      <c r="H1287" s="431">
        <v>5.17</v>
      </c>
      <c r="I1287" s="431">
        <v>5.38</v>
      </c>
      <c r="J1287" s="431">
        <v>5.26</v>
      </c>
      <c r="K1287" s="431">
        <v>5.17</v>
      </c>
      <c r="L1287" s="431">
        <v>5</v>
      </c>
      <c r="M1287" s="431">
        <v>4.5</v>
      </c>
      <c r="N1287" s="431">
        <v>4.38</v>
      </c>
      <c r="O1287" s="431">
        <v>4.03</v>
      </c>
      <c r="P1287" s="431">
        <v>3.59</v>
      </c>
      <c r="Q1287" s="179">
        <f t="shared" si="39"/>
        <v>4.6533333333333333</v>
      </c>
      <c r="R1287" s="179" t="s">
        <v>958</v>
      </c>
    </row>
    <row r="1288" spans="1:18" x14ac:dyDescent="0.15">
      <c r="A1288" s="179" t="str">
        <f t="shared" si="38"/>
        <v>Monterrey_Optimal Summer_270</v>
      </c>
      <c r="B1288" s="501" t="s">
        <v>863</v>
      </c>
      <c r="C1288" s="429">
        <v>11</v>
      </c>
      <c r="D1288" s="429">
        <v>270</v>
      </c>
      <c r="E1288" s="431">
        <v>3.39</v>
      </c>
      <c r="F1288" s="431">
        <v>4.03</v>
      </c>
      <c r="G1288" s="431">
        <v>4.79</v>
      </c>
      <c r="H1288" s="431">
        <v>4.7300000000000004</v>
      </c>
      <c r="I1288" s="431">
        <v>4.92</v>
      </c>
      <c r="J1288" s="431">
        <v>4.8099999999999996</v>
      </c>
      <c r="K1288" s="431">
        <v>4.7300000000000004</v>
      </c>
      <c r="L1288" s="431">
        <v>4.57</v>
      </c>
      <c r="M1288" s="431">
        <v>4.1100000000000003</v>
      </c>
      <c r="N1288" s="431">
        <v>4</v>
      </c>
      <c r="O1288" s="431">
        <v>3.69</v>
      </c>
      <c r="P1288" s="431">
        <v>3.28</v>
      </c>
      <c r="Q1288" s="179">
        <f t="shared" si="39"/>
        <v>4.2541666666666664</v>
      </c>
      <c r="R1288" s="179" t="s">
        <v>958</v>
      </c>
    </row>
    <row r="1289" spans="1:18" x14ac:dyDescent="0.15">
      <c r="A1289" s="179" t="str">
        <f t="shared" si="38"/>
        <v>Monterrey_Optimal Year Round_90</v>
      </c>
      <c r="B1289" s="501" t="s">
        <v>863</v>
      </c>
      <c r="C1289" s="429">
        <v>26</v>
      </c>
      <c r="D1289" s="429">
        <v>90</v>
      </c>
      <c r="E1289" s="431">
        <v>3.86</v>
      </c>
      <c r="F1289" s="431">
        <v>4.41</v>
      </c>
      <c r="G1289" s="431">
        <v>4.9800000000000004</v>
      </c>
      <c r="H1289" s="431">
        <v>4.6399999999999997</v>
      </c>
      <c r="I1289" s="431">
        <v>4.62</v>
      </c>
      <c r="J1289" s="431">
        <v>4.4400000000000004</v>
      </c>
      <c r="K1289" s="431">
        <v>4.4000000000000004</v>
      </c>
      <c r="L1289" s="431">
        <v>4.38</v>
      </c>
      <c r="M1289" s="431">
        <v>4.1500000000000004</v>
      </c>
      <c r="N1289" s="431">
        <v>4.2699999999999996</v>
      </c>
      <c r="O1289" s="431">
        <v>4.16</v>
      </c>
      <c r="P1289" s="431">
        <v>3.78</v>
      </c>
      <c r="Q1289" s="179">
        <f t="shared" si="39"/>
        <v>4.3408333333333333</v>
      </c>
      <c r="R1289" s="179" t="s">
        <v>993</v>
      </c>
    </row>
    <row r="1290" spans="1:18" x14ac:dyDescent="0.15">
      <c r="A1290" s="179" t="str">
        <f t="shared" si="38"/>
        <v>Monterrey_Optimal Year Round_112.5</v>
      </c>
      <c r="B1290" s="501" t="s">
        <v>863</v>
      </c>
      <c r="C1290" s="429">
        <v>26</v>
      </c>
      <c r="D1290" s="429">
        <v>112.5</v>
      </c>
      <c r="E1290" s="431">
        <v>4.22</v>
      </c>
      <c r="F1290" s="431">
        <v>4.82</v>
      </c>
      <c r="G1290" s="431">
        <v>5.44</v>
      </c>
      <c r="H1290" s="431">
        <v>5.08</v>
      </c>
      <c r="I1290" s="431">
        <v>5.05</v>
      </c>
      <c r="J1290" s="431">
        <v>4.8600000000000003</v>
      </c>
      <c r="K1290" s="431">
        <v>4.8099999999999996</v>
      </c>
      <c r="L1290" s="431">
        <v>4.8</v>
      </c>
      <c r="M1290" s="431">
        <v>4.54</v>
      </c>
      <c r="N1290" s="431">
        <v>4.67</v>
      </c>
      <c r="O1290" s="431">
        <v>4.55</v>
      </c>
      <c r="P1290" s="431">
        <v>4.1399999999999997</v>
      </c>
      <c r="Q1290" s="179">
        <f t="shared" si="39"/>
        <v>4.7483333333333331</v>
      </c>
      <c r="R1290" s="179" t="s">
        <v>993</v>
      </c>
    </row>
    <row r="1291" spans="1:18" x14ac:dyDescent="0.15">
      <c r="A1291" s="179" t="str">
        <f t="shared" si="38"/>
        <v>Monterrey_Optimal Year Round_135</v>
      </c>
      <c r="B1291" s="501" t="s">
        <v>863</v>
      </c>
      <c r="C1291" s="429">
        <v>26</v>
      </c>
      <c r="D1291" s="429">
        <v>135</v>
      </c>
      <c r="E1291" s="431">
        <v>4.58</v>
      </c>
      <c r="F1291" s="431">
        <v>5.23</v>
      </c>
      <c r="G1291" s="431">
        <v>5.91</v>
      </c>
      <c r="H1291" s="431">
        <v>5.51</v>
      </c>
      <c r="I1291" s="431">
        <v>5.48</v>
      </c>
      <c r="J1291" s="431">
        <v>5.27</v>
      </c>
      <c r="K1291" s="431">
        <v>5.22</v>
      </c>
      <c r="L1291" s="431">
        <v>5.21</v>
      </c>
      <c r="M1291" s="431">
        <v>4.93</v>
      </c>
      <c r="N1291" s="431">
        <v>5.07</v>
      </c>
      <c r="O1291" s="431">
        <v>4.9400000000000004</v>
      </c>
      <c r="P1291" s="431">
        <v>4.49</v>
      </c>
      <c r="Q1291" s="179">
        <f t="shared" si="39"/>
        <v>5.1533333333333333</v>
      </c>
      <c r="R1291" s="179" t="s">
        <v>993</v>
      </c>
    </row>
    <row r="1292" spans="1:18" x14ac:dyDescent="0.15">
      <c r="A1292" s="179" t="str">
        <f t="shared" si="38"/>
        <v>Monterrey_Optimal Year Round_157.5</v>
      </c>
      <c r="B1292" s="501" t="s">
        <v>863</v>
      </c>
      <c r="C1292" s="429">
        <v>26</v>
      </c>
      <c r="D1292" s="429">
        <v>157.5</v>
      </c>
      <c r="E1292" s="431">
        <v>4.7</v>
      </c>
      <c r="F1292" s="431">
        <v>5.37</v>
      </c>
      <c r="G1292" s="431">
        <v>6.06</v>
      </c>
      <c r="H1292" s="431">
        <v>5.66</v>
      </c>
      <c r="I1292" s="431">
        <v>5.63</v>
      </c>
      <c r="J1292" s="431">
        <v>5.41</v>
      </c>
      <c r="K1292" s="431">
        <v>5.36</v>
      </c>
      <c r="L1292" s="431">
        <v>5.34</v>
      </c>
      <c r="M1292" s="431">
        <v>5.0599999999999996</v>
      </c>
      <c r="N1292" s="431">
        <v>5.21</v>
      </c>
      <c r="O1292" s="431">
        <v>5.07</v>
      </c>
      <c r="P1292" s="431">
        <v>4.6100000000000003</v>
      </c>
      <c r="Q1292" s="179">
        <f t="shared" si="39"/>
        <v>5.29</v>
      </c>
      <c r="R1292" s="179" t="s">
        <v>993</v>
      </c>
    </row>
    <row r="1293" spans="1:18" x14ac:dyDescent="0.15">
      <c r="A1293" s="179" t="str">
        <f t="shared" si="38"/>
        <v>Monterrey_Optimal Year Round_180</v>
      </c>
      <c r="B1293" s="501" t="s">
        <v>863</v>
      </c>
      <c r="C1293" s="429">
        <v>26</v>
      </c>
      <c r="D1293" s="429">
        <v>180</v>
      </c>
      <c r="E1293" s="431">
        <v>4.82</v>
      </c>
      <c r="F1293" s="431">
        <v>5.51</v>
      </c>
      <c r="G1293" s="431">
        <v>6.22</v>
      </c>
      <c r="H1293" s="431">
        <v>5.8</v>
      </c>
      <c r="I1293" s="431">
        <v>5.77</v>
      </c>
      <c r="J1293" s="431">
        <v>5.55</v>
      </c>
      <c r="K1293" s="431">
        <v>5.5</v>
      </c>
      <c r="L1293" s="431">
        <v>5.48</v>
      </c>
      <c r="M1293" s="431">
        <v>5.19</v>
      </c>
      <c r="N1293" s="431">
        <v>5.34</v>
      </c>
      <c r="O1293" s="431">
        <v>5.2</v>
      </c>
      <c r="P1293" s="431">
        <v>4.7300000000000004</v>
      </c>
      <c r="Q1293" s="179">
        <f t="shared" si="39"/>
        <v>5.4258333333333342</v>
      </c>
      <c r="R1293" s="179" t="s">
        <v>993</v>
      </c>
    </row>
    <row r="1294" spans="1:18" x14ac:dyDescent="0.15">
      <c r="A1294" s="179" t="str">
        <f t="shared" si="38"/>
        <v>Monterrey_Optimal Year Round_202.5</v>
      </c>
      <c r="B1294" s="501" t="s">
        <v>863</v>
      </c>
      <c r="C1294" s="429">
        <v>26</v>
      </c>
      <c r="D1294" s="429">
        <v>202.5</v>
      </c>
      <c r="E1294" s="431">
        <v>4.7</v>
      </c>
      <c r="F1294" s="431">
        <v>5.37</v>
      </c>
      <c r="G1294" s="431">
        <v>6.06</v>
      </c>
      <c r="H1294" s="431">
        <v>5.66</v>
      </c>
      <c r="I1294" s="431">
        <v>5.63</v>
      </c>
      <c r="J1294" s="431">
        <v>5.41</v>
      </c>
      <c r="K1294" s="431">
        <v>5.36</v>
      </c>
      <c r="L1294" s="431">
        <v>5.34</v>
      </c>
      <c r="M1294" s="431">
        <v>5.0599999999999996</v>
      </c>
      <c r="N1294" s="431">
        <v>5.21</v>
      </c>
      <c r="O1294" s="431">
        <v>5.07</v>
      </c>
      <c r="P1294" s="431">
        <v>4.6100000000000003</v>
      </c>
      <c r="Q1294" s="179">
        <f t="shared" si="39"/>
        <v>5.29</v>
      </c>
      <c r="R1294" s="179" t="s">
        <v>993</v>
      </c>
    </row>
    <row r="1295" spans="1:18" x14ac:dyDescent="0.15">
      <c r="A1295" s="179" t="str">
        <f t="shared" si="38"/>
        <v>Monterrey_Optimal Year Round_225</v>
      </c>
      <c r="B1295" s="501" t="s">
        <v>863</v>
      </c>
      <c r="C1295" s="429">
        <v>26</v>
      </c>
      <c r="D1295" s="429">
        <v>225</v>
      </c>
      <c r="E1295" s="431">
        <v>4.58</v>
      </c>
      <c r="F1295" s="431">
        <v>5.23</v>
      </c>
      <c r="G1295" s="431">
        <v>5.91</v>
      </c>
      <c r="H1295" s="431">
        <v>5.51</v>
      </c>
      <c r="I1295" s="431">
        <v>5.48</v>
      </c>
      <c r="J1295" s="431">
        <v>5.27</v>
      </c>
      <c r="K1295" s="431">
        <v>5.22</v>
      </c>
      <c r="L1295" s="431">
        <v>5.21</v>
      </c>
      <c r="M1295" s="431">
        <v>4.93</v>
      </c>
      <c r="N1295" s="431">
        <v>5.07</v>
      </c>
      <c r="O1295" s="431">
        <v>4.9400000000000004</v>
      </c>
      <c r="P1295" s="431">
        <v>4.49</v>
      </c>
      <c r="Q1295" s="179">
        <f t="shared" si="39"/>
        <v>5.1533333333333333</v>
      </c>
      <c r="R1295" s="179" t="s">
        <v>993</v>
      </c>
    </row>
    <row r="1296" spans="1:18" x14ac:dyDescent="0.15">
      <c r="A1296" s="179" t="str">
        <f t="shared" si="38"/>
        <v>Monterrey_Optimal Year Round_247.5</v>
      </c>
      <c r="B1296" s="501" t="s">
        <v>863</v>
      </c>
      <c r="C1296" s="429">
        <v>26</v>
      </c>
      <c r="D1296" s="429">
        <v>247.5</v>
      </c>
      <c r="E1296" s="431">
        <v>4.22</v>
      </c>
      <c r="F1296" s="431">
        <v>4.82</v>
      </c>
      <c r="G1296" s="431">
        <v>5.44</v>
      </c>
      <c r="H1296" s="431">
        <v>5.08</v>
      </c>
      <c r="I1296" s="431">
        <v>5.05</v>
      </c>
      <c r="J1296" s="431">
        <v>4.8600000000000003</v>
      </c>
      <c r="K1296" s="431">
        <v>4.8099999999999996</v>
      </c>
      <c r="L1296" s="431">
        <v>4.8</v>
      </c>
      <c r="M1296" s="431">
        <v>4.54</v>
      </c>
      <c r="N1296" s="431">
        <v>4.67</v>
      </c>
      <c r="O1296" s="431">
        <v>4.55</v>
      </c>
      <c r="P1296" s="431">
        <v>4.1399999999999997</v>
      </c>
      <c r="Q1296" s="179">
        <f t="shared" si="39"/>
        <v>4.7483333333333331</v>
      </c>
      <c r="R1296" s="179" t="s">
        <v>993</v>
      </c>
    </row>
    <row r="1297" spans="1:18" x14ac:dyDescent="0.15">
      <c r="A1297" s="179" t="str">
        <f t="shared" si="38"/>
        <v>Monterrey_Optimal Year Round_270</v>
      </c>
      <c r="B1297" s="501" t="s">
        <v>863</v>
      </c>
      <c r="C1297" s="429">
        <v>26</v>
      </c>
      <c r="D1297" s="429">
        <v>270</v>
      </c>
      <c r="E1297" s="431">
        <v>3.86</v>
      </c>
      <c r="F1297" s="431">
        <v>4.41</v>
      </c>
      <c r="G1297" s="431">
        <v>4.9800000000000004</v>
      </c>
      <c r="H1297" s="431">
        <v>4.6399999999999997</v>
      </c>
      <c r="I1297" s="431">
        <v>4.62</v>
      </c>
      <c r="J1297" s="431">
        <v>4.4400000000000004</v>
      </c>
      <c r="K1297" s="431">
        <v>4.4000000000000004</v>
      </c>
      <c r="L1297" s="431">
        <v>4.38</v>
      </c>
      <c r="M1297" s="431">
        <v>4.1500000000000004</v>
      </c>
      <c r="N1297" s="431">
        <v>4.2699999999999996</v>
      </c>
      <c r="O1297" s="431">
        <v>4.16</v>
      </c>
      <c r="P1297" s="431">
        <v>3.78</v>
      </c>
      <c r="Q1297" s="179">
        <f t="shared" si="39"/>
        <v>4.3408333333333333</v>
      </c>
      <c r="R1297" s="179" t="s">
        <v>993</v>
      </c>
    </row>
    <row r="1298" spans="1:18" x14ac:dyDescent="0.15">
      <c r="A1298" s="179" t="str">
        <f t="shared" si="38"/>
        <v>Morelia_Flat Surface_90</v>
      </c>
      <c r="B1298" s="501" t="s">
        <v>1002</v>
      </c>
      <c r="C1298" s="429">
        <v>0</v>
      </c>
      <c r="D1298" s="429">
        <v>90</v>
      </c>
      <c r="E1298" s="431">
        <v>4.8499999999999996</v>
      </c>
      <c r="F1298" s="431">
        <v>5.81</v>
      </c>
      <c r="G1298" s="431">
        <v>6.82</v>
      </c>
      <c r="H1298" s="431">
        <v>6.93</v>
      </c>
      <c r="I1298" s="431">
        <v>6.6</v>
      </c>
      <c r="J1298" s="431">
        <v>5.58</v>
      </c>
      <c r="K1298" s="431">
        <v>5.27</v>
      </c>
      <c r="L1298" s="431">
        <v>5.14</v>
      </c>
      <c r="M1298" s="431">
        <v>4.8</v>
      </c>
      <c r="N1298" s="431">
        <v>4.8600000000000003</v>
      </c>
      <c r="O1298" s="431">
        <v>4.99</v>
      </c>
      <c r="P1298" s="431">
        <v>4.5199999999999996</v>
      </c>
      <c r="Q1298" s="179">
        <f t="shared" si="39"/>
        <v>5.5141666666666671</v>
      </c>
      <c r="R1298" s="179" t="s">
        <v>994</v>
      </c>
    </row>
    <row r="1299" spans="1:18" x14ac:dyDescent="0.15">
      <c r="A1299" s="179" t="str">
        <f t="shared" si="38"/>
        <v>Morelia_Flat Surface_112.5</v>
      </c>
      <c r="B1299" s="501" t="s">
        <v>1002</v>
      </c>
      <c r="C1299" s="429">
        <v>0</v>
      </c>
      <c r="D1299" s="429">
        <v>112.5</v>
      </c>
      <c r="E1299" s="431">
        <v>4.8499999999999996</v>
      </c>
      <c r="F1299" s="431">
        <v>5.81</v>
      </c>
      <c r="G1299" s="431">
        <v>6.82</v>
      </c>
      <c r="H1299" s="431">
        <v>6.93</v>
      </c>
      <c r="I1299" s="431">
        <v>6.6</v>
      </c>
      <c r="J1299" s="431">
        <v>5.58</v>
      </c>
      <c r="K1299" s="431">
        <v>5.27</v>
      </c>
      <c r="L1299" s="431">
        <v>5.14</v>
      </c>
      <c r="M1299" s="431">
        <v>4.8</v>
      </c>
      <c r="N1299" s="431">
        <v>4.8600000000000003</v>
      </c>
      <c r="O1299" s="431">
        <v>4.99</v>
      </c>
      <c r="P1299" s="431">
        <v>4.5199999999999996</v>
      </c>
      <c r="Q1299" s="179">
        <f t="shared" si="39"/>
        <v>5.5141666666666671</v>
      </c>
      <c r="R1299" s="179" t="s">
        <v>994</v>
      </c>
    </row>
    <row r="1300" spans="1:18" x14ac:dyDescent="0.15">
      <c r="A1300" s="179" t="str">
        <f t="shared" si="38"/>
        <v>Morelia_Flat Surface_135</v>
      </c>
      <c r="B1300" s="501" t="s">
        <v>1002</v>
      </c>
      <c r="C1300" s="429">
        <v>0</v>
      </c>
      <c r="D1300" s="429">
        <v>135</v>
      </c>
      <c r="E1300" s="431">
        <v>4.8499999999999996</v>
      </c>
      <c r="F1300" s="431">
        <v>5.81</v>
      </c>
      <c r="G1300" s="431">
        <v>6.82</v>
      </c>
      <c r="H1300" s="431">
        <v>6.93</v>
      </c>
      <c r="I1300" s="431">
        <v>6.6</v>
      </c>
      <c r="J1300" s="431">
        <v>5.58</v>
      </c>
      <c r="K1300" s="431">
        <v>5.27</v>
      </c>
      <c r="L1300" s="431">
        <v>5.14</v>
      </c>
      <c r="M1300" s="431">
        <v>4.8</v>
      </c>
      <c r="N1300" s="431">
        <v>4.8600000000000003</v>
      </c>
      <c r="O1300" s="431">
        <v>4.99</v>
      </c>
      <c r="P1300" s="431">
        <v>4.5199999999999996</v>
      </c>
      <c r="Q1300" s="179">
        <f t="shared" si="39"/>
        <v>5.5141666666666671</v>
      </c>
      <c r="R1300" s="179" t="s">
        <v>994</v>
      </c>
    </row>
    <row r="1301" spans="1:18" x14ac:dyDescent="0.15">
      <c r="A1301" s="179" t="str">
        <f t="shared" si="38"/>
        <v>Morelia_Flat Surface_157.5</v>
      </c>
      <c r="B1301" s="501" t="s">
        <v>1002</v>
      </c>
      <c r="C1301" s="429">
        <v>0</v>
      </c>
      <c r="D1301" s="429">
        <v>157.5</v>
      </c>
      <c r="E1301" s="431">
        <v>4.8499999999999996</v>
      </c>
      <c r="F1301" s="431">
        <v>5.81</v>
      </c>
      <c r="G1301" s="431">
        <v>6.82</v>
      </c>
      <c r="H1301" s="431">
        <v>6.93</v>
      </c>
      <c r="I1301" s="431">
        <v>6.6</v>
      </c>
      <c r="J1301" s="431">
        <v>5.58</v>
      </c>
      <c r="K1301" s="431">
        <v>5.27</v>
      </c>
      <c r="L1301" s="431">
        <v>5.14</v>
      </c>
      <c r="M1301" s="431">
        <v>4.8</v>
      </c>
      <c r="N1301" s="431">
        <v>4.8600000000000003</v>
      </c>
      <c r="O1301" s="431">
        <v>4.99</v>
      </c>
      <c r="P1301" s="431">
        <v>4.5199999999999996</v>
      </c>
      <c r="Q1301" s="179">
        <f t="shared" si="39"/>
        <v>5.5141666666666671</v>
      </c>
      <c r="R1301" s="179" t="s">
        <v>994</v>
      </c>
    </row>
    <row r="1302" spans="1:18" x14ac:dyDescent="0.15">
      <c r="A1302" s="179" t="str">
        <f t="shared" si="38"/>
        <v>Morelia_Flat Surface_180</v>
      </c>
      <c r="B1302" s="501" t="s">
        <v>1002</v>
      </c>
      <c r="C1302" s="429">
        <v>0</v>
      </c>
      <c r="D1302" s="429">
        <v>180</v>
      </c>
      <c r="E1302" s="431">
        <v>4.8499999999999996</v>
      </c>
      <c r="F1302" s="431">
        <v>5.81</v>
      </c>
      <c r="G1302" s="431">
        <v>6.82</v>
      </c>
      <c r="H1302" s="431">
        <v>6.93</v>
      </c>
      <c r="I1302" s="431">
        <v>6.6</v>
      </c>
      <c r="J1302" s="431">
        <v>5.58</v>
      </c>
      <c r="K1302" s="431">
        <v>5.27</v>
      </c>
      <c r="L1302" s="431">
        <v>5.14</v>
      </c>
      <c r="M1302" s="431">
        <v>4.8</v>
      </c>
      <c r="N1302" s="431">
        <v>4.8600000000000003</v>
      </c>
      <c r="O1302" s="431">
        <v>4.99</v>
      </c>
      <c r="P1302" s="431">
        <v>4.5199999999999996</v>
      </c>
      <c r="Q1302" s="179">
        <f t="shared" si="39"/>
        <v>5.5141666666666671</v>
      </c>
      <c r="R1302" s="179" t="s">
        <v>994</v>
      </c>
    </row>
    <row r="1303" spans="1:18" x14ac:dyDescent="0.15">
      <c r="A1303" s="179" t="str">
        <f t="shared" si="38"/>
        <v>Morelia_Flat Surface_202.5</v>
      </c>
      <c r="B1303" s="501" t="s">
        <v>1002</v>
      </c>
      <c r="C1303" s="429">
        <v>0</v>
      </c>
      <c r="D1303" s="429">
        <v>202.5</v>
      </c>
      <c r="E1303" s="431">
        <v>4.8499999999999996</v>
      </c>
      <c r="F1303" s="431">
        <v>5.81</v>
      </c>
      <c r="G1303" s="431">
        <v>6.82</v>
      </c>
      <c r="H1303" s="431">
        <v>6.93</v>
      </c>
      <c r="I1303" s="431">
        <v>6.6</v>
      </c>
      <c r="J1303" s="431">
        <v>5.58</v>
      </c>
      <c r="K1303" s="431">
        <v>5.27</v>
      </c>
      <c r="L1303" s="431">
        <v>5.14</v>
      </c>
      <c r="M1303" s="431">
        <v>4.8</v>
      </c>
      <c r="N1303" s="431">
        <v>4.8600000000000003</v>
      </c>
      <c r="O1303" s="431">
        <v>4.99</v>
      </c>
      <c r="P1303" s="431">
        <v>4.5199999999999996</v>
      </c>
      <c r="Q1303" s="179">
        <f t="shared" si="39"/>
        <v>5.5141666666666671</v>
      </c>
      <c r="R1303" s="179" t="s">
        <v>994</v>
      </c>
    </row>
    <row r="1304" spans="1:18" x14ac:dyDescent="0.15">
      <c r="A1304" s="179" t="str">
        <f t="shared" si="38"/>
        <v>Morelia_Flat Surface_225</v>
      </c>
      <c r="B1304" s="501" t="s">
        <v>1002</v>
      </c>
      <c r="C1304" s="429">
        <v>0</v>
      </c>
      <c r="D1304" s="429">
        <v>225</v>
      </c>
      <c r="E1304" s="431">
        <v>4.8499999999999996</v>
      </c>
      <c r="F1304" s="431">
        <v>5.81</v>
      </c>
      <c r="G1304" s="431">
        <v>6.82</v>
      </c>
      <c r="H1304" s="431">
        <v>6.93</v>
      </c>
      <c r="I1304" s="431">
        <v>6.6</v>
      </c>
      <c r="J1304" s="431">
        <v>5.58</v>
      </c>
      <c r="K1304" s="431">
        <v>5.27</v>
      </c>
      <c r="L1304" s="431">
        <v>5.14</v>
      </c>
      <c r="M1304" s="431">
        <v>4.8</v>
      </c>
      <c r="N1304" s="431">
        <v>4.8600000000000003</v>
      </c>
      <c r="O1304" s="431">
        <v>4.99</v>
      </c>
      <c r="P1304" s="431">
        <v>4.5199999999999996</v>
      </c>
      <c r="Q1304" s="179">
        <f t="shared" si="39"/>
        <v>5.5141666666666671</v>
      </c>
      <c r="R1304" s="179" t="s">
        <v>994</v>
      </c>
    </row>
    <row r="1305" spans="1:18" x14ac:dyDescent="0.15">
      <c r="A1305" s="179" t="str">
        <f t="shared" si="38"/>
        <v>Morelia_Flat Surface_247.5</v>
      </c>
      <c r="B1305" s="501" t="s">
        <v>1002</v>
      </c>
      <c r="C1305" s="429">
        <v>0</v>
      </c>
      <c r="D1305" s="429">
        <v>247.5</v>
      </c>
      <c r="E1305" s="431">
        <v>4.8499999999999996</v>
      </c>
      <c r="F1305" s="431">
        <v>5.81</v>
      </c>
      <c r="G1305" s="431">
        <v>6.82</v>
      </c>
      <c r="H1305" s="431">
        <v>6.93</v>
      </c>
      <c r="I1305" s="431">
        <v>6.6</v>
      </c>
      <c r="J1305" s="431">
        <v>5.58</v>
      </c>
      <c r="K1305" s="431">
        <v>5.27</v>
      </c>
      <c r="L1305" s="431">
        <v>5.14</v>
      </c>
      <c r="M1305" s="431">
        <v>4.8</v>
      </c>
      <c r="N1305" s="431">
        <v>4.8600000000000003</v>
      </c>
      <c r="O1305" s="431">
        <v>4.99</v>
      </c>
      <c r="P1305" s="431">
        <v>4.5199999999999996</v>
      </c>
      <c r="Q1305" s="179">
        <f t="shared" si="39"/>
        <v>5.5141666666666671</v>
      </c>
      <c r="R1305" s="179" t="s">
        <v>994</v>
      </c>
    </row>
    <row r="1306" spans="1:18" x14ac:dyDescent="0.15">
      <c r="A1306" s="179" t="str">
        <f t="shared" si="38"/>
        <v>Morelia_Flat Surface_270</v>
      </c>
      <c r="B1306" s="501" t="s">
        <v>1002</v>
      </c>
      <c r="C1306" s="429">
        <v>0</v>
      </c>
      <c r="D1306" s="429">
        <v>270</v>
      </c>
      <c r="E1306" s="431">
        <v>4.8499999999999996</v>
      </c>
      <c r="F1306" s="431">
        <v>5.81</v>
      </c>
      <c r="G1306" s="431">
        <v>6.82</v>
      </c>
      <c r="H1306" s="431">
        <v>6.93</v>
      </c>
      <c r="I1306" s="431">
        <v>6.6</v>
      </c>
      <c r="J1306" s="431">
        <v>5.58</v>
      </c>
      <c r="K1306" s="431">
        <v>5.27</v>
      </c>
      <c r="L1306" s="431">
        <v>5.14</v>
      </c>
      <c r="M1306" s="431">
        <v>4.8</v>
      </c>
      <c r="N1306" s="431">
        <v>4.8600000000000003</v>
      </c>
      <c r="O1306" s="431">
        <v>4.99</v>
      </c>
      <c r="P1306" s="431">
        <v>4.5199999999999996</v>
      </c>
      <c r="Q1306" s="179">
        <f t="shared" si="39"/>
        <v>5.5141666666666671</v>
      </c>
      <c r="R1306" s="179" t="s">
        <v>994</v>
      </c>
    </row>
    <row r="1307" spans="1:18" x14ac:dyDescent="0.15">
      <c r="A1307" s="179" t="str">
        <f t="shared" si="38"/>
        <v>Morelia_Optimal Summer_90</v>
      </c>
      <c r="B1307" s="501" t="s">
        <v>1002</v>
      </c>
      <c r="C1307" s="429">
        <v>5</v>
      </c>
      <c r="D1307" s="429">
        <v>90</v>
      </c>
      <c r="E1307" s="431">
        <v>4.0999999999999996</v>
      </c>
      <c r="F1307" s="431">
        <v>4.83</v>
      </c>
      <c r="G1307" s="431">
        <v>5.58</v>
      </c>
      <c r="H1307" s="431">
        <v>5.58</v>
      </c>
      <c r="I1307" s="431">
        <v>5.24</v>
      </c>
      <c r="J1307" s="431">
        <v>4.5</v>
      </c>
      <c r="K1307" s="431">
        <v>4.24</v>
      </c>
      <c r="L1307" s="431">
        <v>4.1100000000000003</v>
      </c>
      <c r="M1307" s="431">
        <v>3.88</v>
      </c>
      <c r="N1307" s="431">
        <v>4</v>
      </c>
      <c r="O1307" s="431">
        <v>4.1900000000000004</v>
      </c>
      <c r="P1307" s="431">
        <v>3.82</v>
      </c>
      <c r="Q1307" s="179">
        <f t="shared" si="39"/>
        <v>4.5058333333333334</v>
      </c>
      <c r="R1307" s="179" t="s">
        <v>958</v>
      </c>
    </row>
    <row r="1308" spans="1:18" x14ac:dyDescent="0.15">
      <c r="A1308" s="179" t="str">
        <f t="shared" si="38"/>
        <v>Morelia_Optimal Summer_112.5</v>
      </c>
      <c r="B1308" s="501" t="s">
        <v>1002</v>
      </c>
      <c r="C1308" s="429">
        <v>5</v>
      </c>
      <c r="D1308" s="429">
        <v>112.5</v>
      </c>
      <c r="E1308" s="431">
        <v>4.4800000000000004</v>
      </c>
      <c r="F1308" s="431">
        <v>5.28</v>
      </c>
      <c r="G1308" s="431">
        <v>6.1</v>
      </c>
      <c r="H1308" s="431">
        <v>6.1</v>
      </c>
      <c r="I1308" s="431">
        <v>5.73</v>
      </c>
      <c r="J1308" s="431">
        <v>4.92</v>
      </c>
      <c r="K1308" s="431">
        <v>4.6399999999999997</v>
      </c>
      <c r="L1308" s="431">
        <v>4.5</v>
      </c>
      <c r="M1308" s="431">
        <v>4.24</v>
      </c>
      <c r="N1308" s="431">
        <v>4.38</v>
      </c>
      <c r="O1308" s="431">
        <v>4.58</v>
      </c>
      <c r="P1308" s="431">
        <v>4.18</v>
      </c>
      <c r="Q1308" s="179">
        <f t="shared" si="39"/>
        <v>4.9275000000000002</v>
      </c>
      <c r="R1308" s="179" t="s">
        <v>958</v>
      </c>
    </row>
    <row r="1309" spans="1:18" x14ac:dyDescent="0.15">
      <c r="A1309" s="179" t="str">
        <f t="shared" si="38"/>
        <v>Morelia_Optimal Summer_135</v>
      </c>
      <c r="B1309" s="501" t="s">
        <v>1002</v>
      </c>
      <c r="C1309" s="429">
        <v>5</v>
      </c>
      <c r="D1309" s="429">
        <v>135</v>
      </c>
      <c r="E1309" s="431">
        <v>4.8600000000000003</v>
      </c>
      <c r="F1309" s="431">
        <v>5.74</v>
      </c>
      <c r="G1309" s="431">
        <v>6.62</v>
      </c>
      <c r="H1309" s="431">
        <v>6.62</v>
      </c>
      <c r="I1309" s="431">
        <v>6.22</v>
      </c>
      <c r="J1309" s="431">
        <v>5.34</v>
      </c>
      <c r="K1309" s="431">
        <v>5.04</v>
      </c>
      <c r="L1309" s="431">
        <v>4.88</v>
      </c>
      <c r="M1309" s="431">
        <v>4.6100000000000003</v>
      </c>
      <c r="N1309" s="431">
        <v>4.75</v>
      </c>
      <c r="O1309" s="431">
        <v>4.9800000000000004</v>
      </c>
      <c r="P1309" s="431">
        <v>4.54</v>
      </c>
      <c r="Q1309" s="179">
        <f t="shared" si="39"/>
        <v>5.3500000000000014</v>
      </c>
      <c r="R1309" s="179" t="s">
        <v>958</v>
      </c>
    </row>
    <row r="1310" spans="1:18" x14ac:dyDescent="0.15">
      <c r="A1310" s="179" t="str">
        <f t="shared" si="38"/>
        <v>Morelia_Optimal Summer_157.5</v>
      </c>
      <c r="B1310" s="501" t="s">
        <v>1002</v>
      </c>
      <c r="C1310" s="429">
        <v>5</v>
      </c>
      <c r="D1310" s="429">
        <v>157.5</v>
      </c>
      <c r="E1310" s="431">
        <v>4.99</v>
      </c>
      <c r="F1310" s="431">
        <v>5.89</v>
      </c>
      <c r="G1310" s="431">
        <v>6.8</v>
      </c>
      <c r="H1310" s="431">
        <v>6.8</v>
      </c>
      <c r="I1310" s="431">
        <v>6.39</v>
      </c>
      <c r="J1310" s="431">
        <v>5.48</v>
      </c>
      <c r="K1310" s="431">
        <v>5.17</v>
      </c>
      <c r="L1310" s="431">
        <v>5.01</v>
      </c>
      <c r="M1310" s="431">
        <v>4.7300000000000004</v>
      </c>
      <c r="N1310" s="431">
        <v>4.88</v>
      </c>
      <c r="O1310" s="431">
        <v>5.1100000000000003</v>
      </c>
      <c r="P1310" s="431">
        <v>4.66</v>
      </c>
      <c r="Q1310" s="179">
        <f t="shared" si="39"/>
        <v>5.4925000000000006</v>
      </c>
      <c r="R1310" s="179" t="s">
        <v>958</v>
      </c>
    </row>
    <row r="1311" spans="1:18" x14ac:dyDescent="0.15">
      <c r="A1311" s="179" t="str">
        <f t="shared" si="38"/>
        <v>Morelia_Optimal Summer_180</v>
      </c>
      <c r="B1311" s="501" t="s">
        <v>1002</v>
      </c>
      <c r="C1311" s="429">
        <v>5</v>
      </c>
      <c r="D1311" s="429">
        <v>180</v>
      </c>
      <c r="E1311" s="431">
        <v>5.12</v>
      </c>
      <c r="F1311" s="431">
        <v>6.04</v>
      </c>
      <c r="G1311" s="431">
        <v>6.97</v>
      </c>
      <c r="H1311" s="431">
        <v>6.97</v>
      </c>
      <c r="I1311" s="431">
        <v>6.55</v>
      </c>
      <c r="J1311" s="431">
        <v>5.62</v>
      </c>
      <c r="K1311" s="431">
        <v>5.3</v>
      </c>
      <c r="L1311" s="431">
        <v>5.14</v>
      </c>
      <c r="M1311" s="431">
        <v>4.8499999999999996</v>
      </c>
      <c r="N1311" s="431">
        <v>5</v>
      </c>
      <c r="O1311" s="431">
        <v>5.24</v>
      </c>
      <c r="P1311" s="431">
        <v>4.78</v>
      </c>
      <c r="Q1311" s="179">
        <f t="shared" si="39"/>
        <v>5.6316666666666668</v>
      </c>
      <c r="R1311" s="179" t="s">
        <v>958</v>
      </c>
    </row>
    <row r="1312" spans="1:18" x14ac:dyDescent="0.15">
      <c r="A1312" s="179" t="str">
        <f t="shared" si="38"/>
        <v>Morelia_Optimal Summer_202.5</v>
      </c>
      <c r="B1312" s="501" t="s">
        <v>1002</v>
      </c>
      <c r="C1312" s="429">
        <v>5</v>
      </c>
      <c r="D1312" s="429">
        <v>202.5</v>
      </c>
      <c r="E1312" s="431">
        <v>4.99</v>
      </c>
      <c r="F1312" s="431">
        <v>5.89</v>
      </c>
      <c r="G1312" s="431">
        <v>6.8</v>
      </c>
      <c r="H1312" s="431">
        <v>6.8</v>
      </c>
      <c r="I1312" s="431">
        <v>6.39</v>
      </c>
      <c r="J1312" s="431">
        <v>5.48</v>
      </c>
      <c r="K1312" s="431">
        <v>5.17</v>
      </c>
      <c r="L1312" s="431">
        <v>5.01</v>
      </c>
      <c r="M1312" s="431">
        <v>4.7300000000000004</v>
      </c>
      <c r="N1312" s="431">
        <v>4.88</v>
      </c>
      <c r="O1312" s="431">
        <v>5.1100000000000003</v>
      </c>
      <c r="P1312" s="431">
        <v>4.66</v>
      </c>
      <c r="Q1312" s="179">
        <f t="shared" si="39"/>
        <v>5.4925000000000006</v>
      </c>
      <c r="R1312" s="179" t="s">
        <v>958</v>
      </c>
    </row>
    <row r="1313" spans="1:18" x14ac:dyDescent="0.15">
      <c r="A1313" s="179" t="str">
        <f t="shared" si="38"/>
        <v>Morelia_Optimal Summer_225</v>
      </c>
      <c r="B1313" s="501" t="s">
        <v>1002</v>
      </c>
      <c r="C1313" s="429">
        <v>5</v>
      </c>
      <c r="D1313" s="429">
        <v>225</v>
      </c>
      <c r="E1313" s="431">
        <v>4.8600000000000003</v>
      </c>
      <c r="F1313" s="431">
        <v>5.74</v>
      </c>
      <c r="G1313" s="431">
        <v>6.62</v>
      </c>
      <c r="H1313" s="431">
        <v>6.62</v>
      </c>
      <c r="I1313" s="431">
        <v>6.22</v>
      </c>
      <c r="J1313" s="431">
        <v>5.34</v>
      </c>
      <c r="K1313" s="431">
        <v>5.04</v>
      </c>
      <c r="L1313" s="431">
        <v>4.88</v>
      </c>
      <c r="M1313" s="431">
        <v>4.6100000000000003</v>
      </c>
      <c r="N1313" s="431">
        <v>4.75</v>
      </c>
      <c r="O1313" s="431">
        <v>4.9800000000000004</v>
      </c>
      <c r="P1313" s="431">
        <v>4.54</v>
      </c>
      <c r="Q1313" s="179">
        <f t="shared" si="39"/>
        <v>5.3500000000000014</v>
      </c>
      <c r="R1313" s="179" t="s">
        <v>958</v>
      </c>
    </row>
    <row r="1314" spans="1:18" x14ac:dyDescent="0.15">
      <c r="A1314" s="179" t="str">
        <f t="shared" si="38"/>
        <v>Morelia_Optimal Summer_247.5</v>
      </c>
      <c r="B1314" s="501" t="s">
        <v>1002</v>
      </c>
      <c r="C1314" s="429">
        <v>5</v>
      </c>
      <c r="D1314" s="429">
        <v>247.5</v>
      </c>
      <c r="E1314" s="431">
        <v>4.4800000000000004</v>
      </c>
      <c r="F1314" s="431">
        <v>5.28</v>
      </c>
      <c r="G1314" s="431">
        <v>6.1</v>
      </c>
      <c r="H1314" s="431">
        <v>6.1</v>
      </c>
      <c r="I1314" s="431">
        <v>5.73</v>
      </c>
      <c r="J1314" s="431">
        <v>4.92</v>
      </c>
      <c r="K1314" s="431">
        <v>4.6399999999999997</v>
      </c>
      <c r="L1314" s="431">
        <v>4.5</v>
      </c>
      <c r="M1314" s="431">
        <v>4.24</v>
      </c>
      <c r="N1314" s="431">
        <v>4.38</v>
      </c>
      <c r="O1314" s="431">
        <v>4.58</v>
      </c>
      <c r="P1314" s="431">
        <v>4.18</v>
      </c>
      <c r="Q1314" s="179">
        <f t="shared" si="39"/>
        <v>4.9275000000000002</v>
      </c>
      <c r="R1314" s="179" t="s">
        <v>958</v>
      </c>
    </row>
    <row r="1315" spans="1:18" x14ac:dyDescent="0.15">
      <c r="A1315" s="179" t="str">
        <f t="shared" si="38"/>
        <v>Morelia_Optimal Summer_270</v>
      </c>
      <c r="B1315" s="501" t="s">
        <v>1002</v>
      </c>
      <c r="C1315" s="429">
        <v>5</v>
      </c>
      <c r="D1315" s="429">
        <v>270</v>
      </c>
      <c r="E1315" s="431">
        <v>4.0999999999999996</v>
      </c>
      <c r="F1315" s="431">
        <v>4.83</v>
      </c>
      <c r="G1315" s="431">
        <v>5.58</v>
      </c>
      <c r="H1315" s="431">
        <v>5.58</v>
      </c>
      <c r="I1315" s="431">
        <v>5.24</v>
      </c>
      <c r="J1315" s="431">
        <v>4.5</v>
      </c>
      <c r="K1315" s="431">
        <v>4.24</v>
      </c>
      <c r="L1315" s="431">
        <v>4.1100000000000003</v>
      </c>
      <c r="M1315" s="431">
        <v>3.88</v>
      </c>
      <c r="N1315" s="431">
        <v>4</v>
      </c>
      <c r="O1315" s="431">
        <v>4.1900000000000004</v>
      </c>
      <c r="P1315" s="431">
        <v>3.82</v>
      </c>
      <c r="Q1315" s="179">
        <f t="shared" si="39"/>
        <v>4.5058333333333334</v>
      </c>
      <c r="R1315" s="179" t="s">
        <v>958</v>
      </c>
    </row>
    <row r="1316" spans="1:18" x14ac:dyDescent="0.15">
      <c r="A1316" s="179" t="str">
        <f t="shared" si="38"/>
        <v>Morelia_Optimal Year Round_90</v>
      </c>
      <c r="B1316" s="501" t="s">
        <v>1002</v>
      </c>
      <c r="C1316" s="429">
        <v>20</v>
      </c>
      <c r="D1316" s="429">
        <v>90</v>
      </c>
      <c r="E1316" s="431">
        <v>4.76</v>
      </c>
      <c r="F1316" s="431">
        <v>5.35</v>
      </c>
      <c r="G1316" s="431">
        <v>5.82</v>
      </c>
      <c r="H1316" s="431">
        <v>5.48</v>
      </c>
      <c r="I1316" s="431">
        <v>4.91</v>
      </c>
      <c r="J1316" s="431">
        <v>4.47</v>
      </c>
      <c r="K1316" s="431">
        <v>4.1900000000000004</v>
      </c>
      <c r="L1316" s="431">
        <v>3.98</v>
      </c>
      <c r="M1316" s="431">
        <v>3.91</v>
      </c>
      <c r="N1316" s="431">
        <v>4.26</v>
      </c>
      <c r="O1316" s="431">
        <v>4.8</v>
      </c>
      <c r="P1316" s="431">
        <v>4.46</v>
      </c>
      <c r="Q1316" s="179">
        <f t="shared" si="39"/>
        <v>4.6991666666666658</v>
      </c>
      <c r="R1316" s="179" t="s">
        <v>993</v>
      </c>
    </row>
    <row r="1317" spans="1:18" x14ac:dyDescent="0.15">
      <c r="A1317" s="179" t="str">
        <f t="shared" si="38"/>
        <v>Morelia_Optimal Year Round_112.5</v>
      </c>
      <c r="B1317" s="501" t="s">
        <v>1002</v>
      </c>
      <c r="C1317" s="429">
        <v>20</v>
      </c>
      <c r="D1317" s="429">
        <v>112.5</v>
      </c>
      <c r="E1317" s="431">
        <v>5.21</v>
      </c>
      <c r="F1317" s="431">
        <v>5.85</v>
      </c>
      <c r="G1317" s="431">
        <v>6.37</v>
      </c>
      <c r="H1317" s="431">
        <v>5.99</v>
      </c>
      <c r="I1317" s="431">
        <v>5.37</v>
      </c>
      <c r="J1317" s="431">
        <v>4.8899999999999997</v>
      </c>
      <c r="K1317" s="431">
        <v>4.58</v>
      </c>
      <c r="L1317" s="431">
        <v>4.3600000000000003</v>
      </c>
      <c r="M1317" s="431">
        <v>4.28</v>
      </c>
      <c r="N1317" s="431">
        <v>4.66</v>
      </c>
      <c r="O1317" s="431">
        <v>5.25</v>
      </c>
      <c r="P1317" s="431">
        <v>4.87</v>
      </c>
      <c r="Q1317" s="179">
        <f t="shared" si="39"/>
        <v>5.14</v>
      </c>
      <c r="R1317" s="179" t="s">
        <v>993</v>
      </c>
    </row>
    <row r="1318" spans="1:18" x14ac:dyDescent="0.15">
      <c r="A1318" s="179" t="str">
        <f t="shared" si="38"/>
        <v>Morelia_Optimal Year Round_135</v>
      </c>
      <c r="B1318" s="501" t="s">
        <v>1002</v>
      </c>
      <c r="C1318" s="429">
        <v>20</v>
      </c>
      <c r="D1318" s="429">
        <v>135</v>
      </c>
      <c r="E1318" s="431">
        <v>5.65</v>
      </c>
      <c r="F1318" s="431">
        <v>6.36</v>
      </c>
      <c r="G1318" s="431">
        <v>6.92</v>
      </c>
      <c r="H1318" s="431">
        <v>6.51</v>
      </c>
      <c r="I1318" s="431">
        <v>5.83</v>
      </c>
      <c r="J1318" s="431">
        <v>5.31</v>
      </c>
      <c r="K1318" s="431">
        <v>4.9800000000000004</v>
      </c>
      <c r="L1318" s="431">
        <v>4.7300000000000004</v>
      </c>
      <c r="M1318" s="431">
        <v>4.6500000000000004</v>
      </c>
      <c r="N1318" s="431">
        <v>5.0599999999999996</v>
      </c>
      <c r="O1318" s="431">
        <v>5.7</v>
      </c>
      <c r="P1318" s="431">
        <v>5.29</v>
      </c>
      <c r="Q1318" s="179">
        <f t="shared" si="39"/>
        <v>5.5825000000000005</v>
      </c>
      <c r="R1318" s="179" t="s">
        <v>993</v>
      </c>
    </row>
    <row r="1319" spans="1:18" x14ac:dyDescent="0.15">
      <c r="A1319" s="179" t="str">
        <f t="shared" si="38"/>
        <v>Morelia_Optimal Year Round_157.5</v>
      </c>
      <c r="B1319" s="501" t="s">
        <v>1002</v>
      </c>
      <c r="C1319" s="429">
        <v>20</v>
      </c>
      <c r="D1319" s="429">
        <v>157.5</v>
      </c>
      <c r="E1319" s="431">
        <v>5.8</v>
      </c>
      <c r="F1319" s="431">
        <v>6.52</v>
      </c>
      <c r="G1319" s="431">
        <v>7.1</v>
      </c>
      <c r="H1319" s="431">
        <v>6.68</v>
      </c>
      <c r="I1319" s="431">
        <v>5.99</v>
      </c>
      <c r="J1319" s="431">
        <v>5.45</v>
      </c>
      <c r="K1319" s="431">
        <v>5.1100000000000003</v>
      </c>
      <c r="L1319" s="431">
        <v>4.8600000000000003</v>
      </c>
      <c r="M1319" s="431">
        <v>4.7699999999999996</v>
      </c>
      <c r="N1319" s="431">
        <v>5.2</v>
      </c>
      <c r="O1319" s="431">
        <v>5.85</v>
      </c>
      <c r="P1319" s="431">
        <v>5.43</v>
      </c>
      <c r="Q1319" s="179">
        <f t="shared" si="39"/>
        <v>5.73</v>
      </c>
      <c r="R1319" s="179" t="s">
        <v>993</v>
      </c>
    </row>
    <row r="1320" spans="1:18" x14ac:dyDescent="0.15">
      <c r="A1320" s="179" t="str">
        <f t="shared" si="38"/>
        <v>Morelia_Optimal Year Round_180</v>
      </c>
      <c r="B1320" s="501" t="s">
        <v>1002</v>
      </c>
      <c r="C1320" s="429">
        <v>20</v>
      </c>
      <c r="D1320" s="429">
        <v>180</v>
      </c>
      <c r="E1320" s="431">
        <v>5.95</v>
      </c>
      <c r="F1320" s="431">
        <v>6.69</v>
      </c>
      <c r="G1320" s="431">
        <v>7.28</v>
      </c>
      <c r="H1320" s="431">
        <v>6.85</v>
      </c>
      <c r="I1320" s="431">
        <v>6.14</v>
      </c>
      <c r="J1320" s="431">
        <v>5.59</v>
      </c>
      <c r="K1320" s="431">
        <v>5.24</v>
      </c>
      <c r="L1320" s="431">
        <v>4.9800000000000004</v>
      </c>
      <c r="M1320" s="431">
        <v>4.8899999999999997</v>
      </c>
      <c r="N1320" s="431">
        <v>5.33</v>
      </c>
      <c r="O1320" s="431">
        <v>6</v>
      </c>
      <c r="P1320" s="431">
        <v>5.57</v>
      </c>
      <c r="Q1320" s="179">
        <f t="shared" si="39"/>
        <v>5.8758333333333326</v>
      </c>
      <c r="R1320" s="179" t="s">
        <v>993</v>
      </c>
    </row>
    <row r="1321" spans="1:18" x14ac:dyDescent="0.15">
      <c r="A1321" s="179" t="str">
        <f t="shared" si="38"/>
        <v>Morelia_Optimal Year Round_202.5</v>
      </c>
      <c r="B1321" s="501" t="s">
        <v>1002</v>
      </c>
      <c r="C1321" s="429">
        <v>20</v>
      </c>
      <c r="D1321" s="429">
        <v>202.5</v>
      </c>
      <c r="E1321" s="431">
        <v>5.8</v>
      </c>
      <c r="F1321" s="431">
        <v>6.52</v>
      </c>
      <c r="G1321" s="431">
        <v>7.1</v>
      </c>
      <c r="H1321" s="431">
        <v>6.68</v>
      </c>
      <c r="I1321" s="431">
        <v>5.99</v>
      </c>
      <c r="J1321" s="431">
        <v>5.45</v>
      </c>
      <c r="K1321" s="431">
        <v>5.1100000000000003</v>
      </c>
      <c r="L1321" s="431">
        <v>4.8600000000000003</v>
      </c>
      <c r="M1321" s="431">
        <v>4.7699999999999996</v>
      </c>
      <c r="N1321" s="431">
        <v>5.2</v>
      </c>
      <c r="O1321" s="431">
        <v>5.85</v>
      </c>
      <c r="P1321" s="431">
        <v>5.43</v>
      </c>
      <c r="Q1321" s="179">
        <f t="shared" si="39"/>
        <v>5.73</v>
      </c>
      <c r="R1321" s="179" t="s">
        <v>993</v>
      </c>
    </row>
    <row r="1322" spans="1:18" x14ac:dyDescent="0.15">
      <c r="A1322" s="179" t="str">
        <f t="shared" si="38"/>
        <v>Morelia_Optimal Year Round_225</v>
      </c>
      <c r="B1322" s="501" t="s">
        <v>1002</v>
      </c>
      <c r="C1322" s="429">
        <v>20</v>
      </c>
      <c r="D1322" s="429">
        <v>225</v>
      </c>
      <c r="E1322" s="431">
        <v>5.65</v>
      </c>
      <c r="F1322" s="431">
        <v>6.36</v>
      </c>
      <c r="G1322" s="431">
        <v>6.92</v>
      </c>
      <c r="H1322" s="431">
        <v>6.51</v>
      </c>
      <c r="I1322" s="431">
        <v>5.83</v>
      </c>
      <c r="J1322" s="431">
        <v>5.31</v>
      </c>
      <c r="K1322" s="431">
        <v>4.9800000000000004</v>
      </c>
      <c r="L1322" s="431">
        <v>4.7300000000000004</v>
      </c>
      <c r="M1322" s="431">
        <v>4.6500000000000004</v>
      </c>
      <c r="N1322" s="431">
        <v>5.0599999999999996</v>
      </c>
      <c r="O1322" s="431">
        <v>5.7</v>
      </c>
      <c r="P1322" s="431">
        <v>5.29</v>
      </c>
      <c r="Q1322" s="179">
        <f t="shared" si="39"/>
        <v>5.5825000000000005</v>
      </c>
      <c r="R1322" s="179" t="s">
        <v>993</v>
      </c>
    </row>
    <row r="1323" spans="1:18" x14ac:dyDescent="0.15">
      <c r="A1323" s="179" t="str">
        <f t="shared" si="38"/>
        <v>Morelia_Optimal Year Round_247.5</v>
      </c>
      <c r="B1323" s="501" t="s">
        <v>1002</v>
      </c>
      <c r="C1323" s="429">
        <v>20</v>
      </c>
      <c r="D1323" s="429">
        <v>247.5</v>
      </c>
      <c r="E1323" s="431">
        <v>5.21</v>
      </c>
      <c r="F1323" s="431">
        <v>5.85</v>
      </c>
      <c r="G1323" s="431">
        <v>6.37</v>
      </c>
      <c r="H1323" s="431">
        <v>5.99</v>
      </c>
      <c r="I1323" s="431">
        <v>5.37</v>
      </c>
      <c r="J1323" s="431">
        <v>4.8899999999999997</v>
      </c>
      <c r="K1323" s="431">
        <v>4.58</v>
      </c>
      <c r="L1323" s="431">
        <v>4.3600000000000003</v>
      </c>
      <c r="M1323" s="431">
        <v>4.28</v>
      </c>
      <c r="N1323" s="431">
        <v>4.66</v>
      </c>
      <c r="O1323" s="431">
        <v>5.25</v>
      </c>
      <c r="P1323" s="431">
        <v>4.87</v>
      </c>
      <c r="Q1323" s="179">
        <f t="shared" si="39"/>
        <v>5.14</v>
      </c>
      <c r="R1323" s="179" t="s">
        <v>993</v>
      </c>
    </row>
    <row r="1324" spans="1:18" x14ac:dyDescent="0.15">
      <c r="A1324" s="179" t="str">
        <f t="shared" si="38"/>
        <v>Morelia_Optimal Year Round_270</v>
      </c>
      <c r="B1324" s="501" t="s">
        <v>1002</v>
      </c>
      <c r="C1324" s="429">
        <v>20</v>
      </c>
      <c r="D1324" s="429">
        <v>270</v>
      </c>
      <c r="E1324" s="431">
        <v>4.76</v>
      </c>
      <c r="F1324" s="431">
        <v>5.35</v>
      </c>
      <c r="G1324" s="431">
        <v>5.82</v>
      </c>
      <c r="H1324" s="431">
        <v>5.48</v>
      </c>
      <c r="I1324" s="431">
        <v>4.91</v>
      </c>
      <c r="J1324" s="431">
        <v>4.47</v>
      </c>
      <c r="K1324" s="431">
        <v>4.1900000000000004</v>
      </c>
      <c r="L1324" s="431">
        <v>3.98</v>
      </c>
      <c r="M1324" s="431">
        <v>3.91</v>
      </c>
      <c r="N1324" s="431">
        <v>4.26</v>
      </c>
      <c r="O1324" s="431">
        <v>4.8</v>
      </c>
      <c r="P1324" s="431">
        <v>4.46</v>
      </c>
      <c r="Q1324" s="179">
        <f t="shared" si="39"/>
        <v>4.6991666666666658</v>
      </c>
      <c r="R1324" s="179" t="s">
        <v>993</v>
      </c>
    </row>
    <row r="1325" spans="1:18" x14ac:dyDescent="0.15">
      <c r="A1325" s="179" t="str">
        <f t="shared" si="38"/>
        <v>Naulcapan de Juarez_Flat Surface_90</v>
      </c>
      <c r="B1325" s="501" t="s">
        <v>1003</v>
      </c>
      <c r="C1325" s="429">
        <v>0</v>
      </c>
      <c r="D1325" s="429">
        <v>90</v>
      </c>
      <c r="E1325" s="431">
        <v>4.74</v>
      </c>
      <c r="F1325" s="431">
        <v>5.68</v>
      </c>
      <c r="G1325" s="431">
        <v>6.47</v>
      </c>
      <c r="H1325" s="431">
        <v>6.38</v>
      </c>
      <c r="I1325" s="431">
        <v>6.21</v>
      </c>
      <c r="J1325" s="431">
        <v>5.57</v>
      </c>
      <c r="K1325" s="431">
        <v>5.48</v>
      </c>
      <c r="L1325" s="431">
        <v>5.31</v>
      </c>
      <c r="M1325" s="431">
        <v>4.88</v>
      </c>
      <c r="N1325" s="431">
        <v>4.87</v>
      </c>
      <c r="O1325" s="431">
        <v>4.7699999999999996</v>
      </c>
      <c r="P1325" s="431">
        <v>4.34</v>
      </c>
      <c r="Q1325" s="179">
        <f t="shared" si="39"/>
        <v>5.3916666666666666</v>
      </c>
      <c r="R1325" s="179" t="s">
        <v>994</v>
      </c>
    </row>
    <row r="1326" spans="1:18" x14ac:dyDescent="0.15">
      <c r="A1326" s="179" t="str">
        <f t="shared" si="38"/>
        <v>Naulcapan de Juarez_Flat Surface_112.5</v>
      </c>
      <c r="B1326" s="501" t="s">
        <v>1003</v>
      </c>
      <c r="C1326" s="429">
        <v>0</v>
      </c>
      <c r="D1326" s="429">
        <v>112.5</v>
      </c>
      <c r="E1326" s="431">
        <v>4.74</v>
      </c>
      <c r="F1326" s="431">
        <v>5.68</v>
      </c>
      <c r="G1326" s="431">
        <v>6.47</v>
      </c>
      <c r="H1326" s="431">
        <v>6.38</v>
      </c>
      <c r="I1326" s="431">
        <v>6.21</v>
      </c>
      <c r="J1326" s="431">
        <v>5.57</v>
      </c>
      <c r="K1326" s="431">
        <v>5.48</v>
      </c>
      <c r="L1326" s="431">
        <v>5.31</v>
      </c>
      <c r="M1326" s="431">
        <v>4.88</v>
      </c>
      <c r="N1326" s="431">
        <v>4.87</v>
      </c>
      <c r="O1326" s="431">
        <v>4.7699999999999996</v>
      </c>
      <c r="P1326" s="431">
        <v>4.34</v>
      </c>
      <c r="Q1326" s="179">
        <f t="shared" si="39"/>
        <v>5.3916666666666666</v>
      </c>
      <c r="R1326" s="179" t="s">
        <v>994</v>
      </c>
    </row>
    <row r="1327" spans="1:18" x14ac:dyDescent="0.15">
      <c r="A1327" s="179" t="str">
        <f t="shared" si="38"/>
        <v>Naulcapan de Juarez_Flat Surface_135</v>
      </c>
      <c r="B1327" s="501" t="s">
        <v>1003</v>
      </c>
      <c r="C1327" s="429">
        <v>0</v>
      </c>
      <c r="D1327" s="429">
        <v>135</v>
      </c>
      <c r="E1327" s="431">
        <v>4.74</v>
      </c>
      <c r="F1327" s="431">
        <v>5.68</v>
      </c>
      <c r="G1327" s="431">
        <v>6.47</v>
      </c>
      <c r="H1327" s="431">
        <v>6.38</v>
      </c>
      <c r="I1327" s="431">
        <v>6.21</v>
      </c>
      <c r="J1327" s="431">
        <v>5.57</v>
      </c>
      <c r="K1327" s="431">
        <v>5.48</v>
      </c>
      <c r="L1327" s="431">
        <v>5.31</v>
      </c>
      <c r="M1327" s="431">
        <v>4.88</v>
      </c>
      <c r="N1327" s="431">
        <v>4.87</v>
      </c>
      <c r="O1327" s="431">
        <v>4.7699999999999996</v>
      </c>
      <c r="P1327" s="431">
        <v>4.34</v>
      </c>
      <c r="Q1327" s="179">
        <f t="shared" si="39"/>
        <v>5.3916666666666666</v>
      </c>
      <c r="R1327" s="179" t="s">
        <v>994</v>
      </c>
    </row>
    <row r="1328" spans="1:18" x14ac:dyDescent="0.15">
      <c r="A1328" s="179" t="str">
        <f t="shared" si="38"/>
        <v>Naulcapan de Juarez_Flat Surface_157.5</v>
      </c>
      <c r="B1328" s="501" t="s">
        <v>1003</v>
      </c>
      <c r="C1328" s="429">
        <v>0</v>
      </c>
      <c r="D1328" s="429">
        <v>157.5</v>
      </c>
      <c r="E1328" s="431">
        <v>4.74</v>
      </c>
      <c r="F1328" s="431">
        <v>5.68</v>
      </c>
      <c r="G1328" s="431">
        <v>6.47</v>
      </c>
      <c r="H1328" s="431">
        <v>6.38</v>
      </c>
      <c r="I1328" s="431">
        <v>6.21</v>
      </c>
      <c r="J1328" s="431">
        <v>5.57</v>
      </c>
      <c r="K1328" s="431">
        <v>5.48</v>
      </c>
      <c r="L1328" s="431">
        <v>5.31</v>
      </c>
      <c r="M1328" s="431">
        <v>4.88</v>
      </c>
      <c r="N1328" s="431">
        <v>4.87</v>
      </c>
      <c r="O1328" s="431">
        <v>4.7699999999999996</v>
      </c>
      <c r="P1328" s="431">
        <v>4.34</v>
      </c>
      <c r="Q1328" s="179">
        <f t="shared" si="39"/>
        <v>5.3916666666666666</v>
      </c>
      <c r="R1328" s="179" t="s">
        <v>994</v>
      </c>
    </row>
    <row r="1329" spans="1:18" x14ac:dyDescent="0.15">
      <c r="A1329" s="179" t="str">
        <f t="shared" si="38"/>
        <v>Naulcapan de Juarez_Flat Surface_180</v>
      </c>
      <c r="B1329" s="501" t="s">
        <v>1003</v>
      </c>
      <c r="C1329" s="429">
        <v>0</v>
      </c>
      <c r="D1329" s="429">
        <v>180</v>
      </c>
      <c r="E1329" s="431">
        <v>4.74</v>
      </c>
      <c r="F1329" s="431">
        <v>5.68</v>
      </c>
      <c r="G1329" s="431">
        <v>6.47</v>
      </c>
      <c r="H1329" s="431">
        <v>6.38</v>
      </c>
      <c r="I1329" s="431">
        <v>6.21</v>
      </c>
      <c r="J1329" s="431">
        <v>5.57</v>
      </c>
      <c r="K1329" s="431">
        <v>5.48</v>
      </c>
      <c r="L1329" s="431">
        <v>5.31</v>
      </c>
      <c r="M1329" s="431">
        <v>4.88</v>
      </c>
      <c r="N1329" s="431">
        <v>4.87</v>
      </c>
      <c r="O1329" s="431">
        <v>4.7699999999999996</v>
      </c>
      <c r="P1329" s="431">
        <v>4.34</v>
      </c>
      <c r="Q1329" s="179">
        <f t="shared" si="39"/>
        <v>5.3916666666666666</v>
      </c>
      <c r="R1329" s="179" t="s">
        <v>994</v>
      </c>
    </row>
    <row r="1330" spans="1:18" x14ac:dyDescent="0.15">
      <c r="A1330" s="179" t="str">
        <f t="shared" si="38"/>
        <v>Naulcapan de Juarez_Flat Surface_202.5</v>
      </c>
      <c r="B1330" s="501" t="s">
        <v>1003</v>
      </c>
      <c r="C1330" s="429">
        <v>0</v>
      </c>
      <c r="D1330" s="429">
        <v>202.5</v>
      </c>
      <c r="E1330" s="431">
        <v>4.74</v>
      </c>
      <c r="F1330" s="431">
        <v>5.68</v>
      </c>
      <c r="G1330" s="431">
        <v>6.47</v>
      </c>
      <c r="H1330" s="431">
        <v>6.38</v>
      </c>
      <c r="I1330" s="431">
        <v>6.21</v>
      </c>
      <c r="J1330" s="431">
        <v>5.57</v>
      </c>
      <c r="K1330" s="431">
        <v>5.48</v>
      </c>
      <c r="L1330" s="431">
        <v>5.31</v>
      </c>
      <c r="M1330" s="431">
        <v>4.88</v>
      </c>
      <c r="N1330" s="431">
        <v>4.87</v>
      </c>
      <c r="O1330" s="431">
        <v>4.7699999999999996</v>
      </c>
      <c r="P1330" s="431">
        <v>4.34</v>
      </c>
      <c r="Q1330" s="179">
        <f t="shared" si="39"/>
        <v>5.3916666666666666</v>
      </c>
      <c r="R1330" s="179" t="s">
        <v>994</v>
      </c>
    </row>
    <row r="1331" spans="1:18" x14ac:dyDescent="0.15">
      <c r="A1331" s="179" t="str">
        <f t="shared" si="38"/>
        <v>Naulcapan de Juarez_Flat Surface_225</v>
      </c>
      <c r="B1331" s="501" t="s">
        <v>1003</v>
      </c>
      <c r="C1331" s="429">
        <v>0</v>
      </c>
      <c r="D1331" s="429">
        <v>225</v>
      </c>
      <c r="E1331" s="431">
        <v>4.74</v>
      </c>
      <c r="F1331" s="431">
        <v>5.68</v>
      </c>
      <c r="G1331" s="431">
        <v>6.47</v>
      </c>
      <c r="H1331" s="431">
        <v>6.38</v>
      </c>
      <c r="I1331" s="431">
        <v>6.21</v>
      </c>
      <c r="J1331" s="431">
        <v>5.57</v>
      </c>
      <c r="K1331" s="431">
        <v>5.48</v>
      </c>
      <c r="L1331" s="431">
        <v>5.31</v>
      </c>
      <c r="M1331" s="431">
        <v>4.88</v>
      </c>
      <c r="N1331" s="431">
        <v>4.87</v>
      </c>
      <c r="O1331" s="431">
        <v>4.7699999999999996</v>
      </c>
      <c r="P1331" s="431">
        <v>4.34</v>
      </c>
      <c r="Q1331" s="179">
        <f t="shared" si="39"/>
        <v>5.3916666666666666</v>
      </c>
      <c r="R1331" s="179" t="s">
        <v>994</v>
      </c>
    </row>
    <row r="1332" spans="1:18" x14ac:dyDescent="0.15">
      <c r="A1332" s="179" t="str">
        <f t="shared" si="38"/>
        <v>Naulcapan de Juarez_Flat Surface_247.5</v>
      </c>
      <c r="B1332" s="501" t="s">
        <v>1003</v>
      </c>
      <c r="C1332" s="429">
        <v>0</v>
      </c>
      <c r="D1332" s="429">
        <v>247.5</v>
      </c>
      <c r="E1332" s="431">
        <v>4.74</v>
      </c>
      <c r="F1332" s="431">
        <v>5.68</v>
      </c>
      <c r="G1332" s="431">
        <v>6.47</v>
      </c>
      <c r="H1332" s="431">
        <v>6.38</v>
      </c>
      <c r="I1332" s="431">
        <v>6.21</v>
      </c>
      <c r="J1332" s="431">
        <v>5.57</v>
      </c>
      <c r="K1332" s="431">
        <v>5.48</v>
      </c>
      <c r="L1332" s="431">
        <v>5.31</v>
      </c>
      <c r="M1332" s="431">
        <v>4.88</v>
      </c>
      <c r="N1332" s="431">
        <v>4.87</v>
      </c>
      <c r="O1332" s="431">
        <v>4.7699999999999996</v>
      </c>
      <c r="P1332" s="431">
        <v>4.34</v>
      </c>
      <c r="Q1332" s="179">
        <f t="shared" si="39"/>
        <v>5.3916666666666666</v>
      </c>
      <c r="R1332" s="179" t="s">
        <v>994</v>
      </c>
    </row>
    <row r="1333" spans="1:18" x14ac:dyDescent="0.15">
      <c r="A1333" s="179" t="str">
        <f t="shared" si="38"/>
        <v>Naulcapan de Juarez_Flat Surface_270</v>
      </c>
      <c r="B1333" s="501" t="s">
        <v>1003</v>
      </c>
      <c r="C1333" s="429">
        <v>0</v>
      </c>
      <c r="D1333" s="429">
        <v>270</v>
      </c>
      <c r="E1333" s="431">
        <v>4.74</v>
      </c>
      <c r="F1333" s="431">
        <v>5.68</v>
      </c>
      <c r="G1333" s="431">
        <v>6.47</v>
      </c>
      <c r="H1333" s="431">
        <v>6.38</v>
      </c>
      <c r="I1333" s="431">
        <v>6.21</v>
      </c>
      <c r="J1333" s="431">
        <v>5.57</v>
      </c>
      <c r="K1333" s="431">
        <v>5.48</v>
      </c>
      <c r="L1333" s="431">
        <v>5.31</v>
      </c>
      <c r="M1333" s="431">
        <v>4.88</v>
      </c>
      <c r="N1333" s="431">
        <v>4.87</v>
      </c>
      <c r="O1333" s="431">
        <v>4.7699999999999996</v>
      </c>
      <c r="P1333" s="431">
        <v>4.34</v>
      </c>
      <c r="Q1333" s="179">
        <f t="shared" si="39"/>
        <v>5.3916666666666666</v>
      </c>
      <c r="R1333" s="179" t="s">
        <v>994</v>
      </c>
    </row>
    <row r="1334" spans="1:18" x14ac:dyDescent="0.15">
      <c r="A1334" s="179" t="str">
        <f t="shared" si="38"/>
        <v>Naulcapan de Juarez_Optimal Summer_90</v>
      </c>
      <c r="B1334" s="501" t="s">
        <v>1003</v>
      </c>
      <c r="C1334" s="429">
        <v>5</v>
      </c>
      <c r="D1334" s="429">
        <v>90</v>
      </c>
      <c r="E1334" s="431">
        <v>4</v>
      </c>
      <c r="F1334" s="431">
        <v>4.72</v>
      </c>
      <c r="G1334" s="431">
        <v>5.29</v>
      </c>
      <c r="H1334" s="431">
        <v>5.13</v>
      </c>
      <c r="I1334" s="431">
        <v>4.93</v>
      </c>
      <c r="J1334" s="431">
        <v>4.49</v>
      </c>
      <c r="K1334" s="431">
        <v>4.41</v>
      </c>
      <c r="L1334" s="431">
        <v>4.25</v>
      </c>
      <c r="M1334" s="431">
        <v>3.94</v>
      </c>
      <c r="N1334" s="431">
        <v>4</v>
      </c>
      <c r="O1334" s="431">
        <v>4</v>
      </c>
      <c r="P1334" s="431">
        <v>3.66</v>
      </c>
      <c r="Q1334" s="179">
        <f t="shared" si="39"/>
        <v>4.4016666666666664</v>
      </c>
      <c r="R1334" s="179" t="s">
        <v>958</v>
      </c>
    </row>
    <row r="1335" spans="1:18" x14ac:dyDescent="0.15">
      <c r="A1335" s="179" t="str">
        <f t="shared" si="38"/>
        <v>Naulcapan de Juarez_Optimal Summer_112.5</v>
      </c>
      <c r="B1335" s="501" t="s">
        <v>1003</v>
      </c>
      <c r="C1335" s="429">
        <v>5</v>
      </c>
      <c r="D1335" s="429">
        <v>112.5</v>
      </c>
      <c r="E1335" s="431">
        <v>4.38</v>
      </c>
      <c r="F1335" s="431">
        <v>5.16</v>
      </c>
      <c r="G1335" s="431">
        <v>5.78</v>
      </c>
      <c r="H1335" s="431">
        <v>5.61</v>
      </c>
      <c r="I1335" s="431">
        <v>5.39</v>
      </c>
      <c r="J1335" s="431">
        <v>4.91</v>
      </c>
      <c r="K1335" s="431">
        <v>4.82</v>
      </c>
      <c r="L1335" s="431">
        <v>4.6500000000000004</v>
      </c>
      <c r="M1335" s="431">
        <v>4.3099999999999996</v>
      </c>
      <c r="N1335" s="431">
        <v>4.38</v>
      </c>
      <c r="O1335" s="431">
        <v>4.38</v>
      </c>
      <c r="P1335" s="431">
        <v>4</v>
      </c>
      <c r="Q1335" s="179">
        <f t="shared" si="39"/>
        <v>4.8141666666666669</v>
      </c>
      <c r="R1335" s="179" t="s">
        <v>958</v>
      </c>
    </row>
    <row r="1336" spans="1:18" x14ac:dyDescent="0.15">
      <c r="A1336" s="179" t="str">
        <f t="shared" si="38"/>
        <v>Naulcapan de Juarez_Optimal Summer_135</v>
      </c>
      <c r="B1336" s="501" t="s">
        <v>1003</v>
      </c>
      <c r="C1336" s="429">
        <v>5</v>
      </c>
      <c r="D1336" s="429">
        <v>135</v>
      </c>
      <c r="E1336" s="431">
        <v>4.75</v>
      </c>
      <c r="F1336" s="431">
        <v>5.6</v>
      </c>
      <c r="G1336" s="431">
        <v>6.28</v>
      </c>
      <c r="H1336" s="431">
        <v>6.09</v>
      </c>
      <c r="I1336" s="431">
        <v>5.85</v>
      </c>
      <c r="J1336" s="431">
        <v>5.33</v>
      </c>
      <c r="K1336" s="431">
        <v>5.23</v>
      </c>
      <c r="L1336" s="431">
        <v>5.04</v>
      </c>
      <c r="M1336" s="431">
        <v>4.68</v>
      </c>
      <c r="N1336" s="431">
        <v>4.75</v>
      </c>
      <c r="O1336" s="431">
        <v>4.75</v>
      </c>
      <c r="P1336" s="431">
        <v>4.34</v>
      </c>
      <c r="Q1336" s="179">
        <f t="shared" si="39"/>
        <v>5.2241666666666662</v>
      </c>
      <c r="R1336" s="179" t="s">
        <v>958</v>
      </c>
    </row>
    <row r="1337" spans="1:18" x14ac:dyDescent="0.15">
      <c r="A1337" s="179" t="str">
        <f t="shared" si="38"/>
        <v>Naulcapan de Juarez_Optimal Summer_157.5</v>
      </c>
      <c r="B1337" s="501" t="s">
        <v>1003</v>
      </c>
      <c r="C1337" s="429">
        <v>5</v>
      </c>
      <c r="D1337" s="429">
        <v>157.5</v>
      </c>
      <c r="E1337" s="431">
        <v>4.88</v>
      </c>
      <c r="F1337" s="431">
        <v>5.75</v>
      </c>
      <c r="G1337" s="431">
        <v>6.44</v>
      </c>
      <c r="H1337" s="431">
        <v>6.25</v>
      </c>
      <c r="I1337" s="431">
        <v>6.01</v>
      </c>
      <c r="J1337" s="431">
        <v>5.47</v>
      </c>
      <c r="K1337" s="431">
        <v>5.37</v>
      </c>
      <c r="L1337" s="431">
        <v>5.18</v>
      </c>
      <c r="M1337" s="431">
        <v>4.8099999999999996</v>
      </c>
      <c r="N1337" s="431">
        <v>4.88</v>
      </c>
      <c r="O1337" s="431">
        <v>4.88</v>
      </c>
      <c r="P1337" s="431">
        <v>4.46</v>
      </c>
      <c r="Q1337" s="179">
        <f t="shared" si="39"/>
        <v>5.3649999999999993</v>
      </c>
      <c r="R1337" s="179" t="s">
        <v>958</v>
      </c>
    </row>
    <row r="1338" spans="1:18" x14ac:dyDescent="0.15">
      <c r="A1338" s="179" t="str">
        <f t="shared" si="38"/>
        <v>Naulcapan de Juarez_Optimal Summer_180</v>
      </c>
      <c r="B1338" s="501" t="s">
        <v>1003</v>
      </c>
      <c r="C1338" s="429">
        <v>5</v>
      </c>
      <c r="D1338" s="429">
        <v>180</v>
      </c>
      <c r="E1338" s="431">
        <v>5</v>
      </c>
      <c r="F1338" s="431">
        <v>5.9</v>
      </c>
      <c r="G1338" s="431">
        <v>6.61</v>
      </c>
      <c r="H1338" s="431">
        <v>6.41</v>
      </c>
      <c r="I1338" s="431">
        <v>6.16</v>
      </c>
      <c r="J1338" s="431">
        <v>5.61</v>
      </c>
      <c r="K1338" s="431">
        <v>5.51</v>
      </c>
      <c r="L1338" s="431">
        <v>5.31</v>
      </c>
      <c r="M1338" s="431">
        <v>4.93</v>
      </c>
      <c r="N1338" s="431">
        <v>5</v>
      </c>
      <c r="O1338" s="431">
        <v>5</v>
      </c>
      <c r="P1338" s="431">
        <v>4.57</v>
      </c>
      <c r="Q1338" s="179">
        <f t="shared" si="39"/>
        <v>5.5008333333333335</v>
      </c>
      <c r="R1338" s="179" t="s">
        <v>958</v>
      </c>
    </row>
    <row r="1339" spans="1:18" x14ac:dyDescent="0.15">
      <c r="A1339" s="179" t="str">
        <f t="shared" si="38"/>
        <v>Naulcapan de Juarez_Optimal Summer_202.5</v>
      </c>
      <c r="B1339" s="501" t="s">
        <v>1003</v>
      </c>
      <c r="C1339" s="429">
        <v>5</v>
      </c>
      <c r="D1339" s="429">
        <v>202.5</v>
      </c>
      <c r="E1339" s="431">
        <v>4.88</v>
      </c>
      <c r="F1339" s="431">
        <v>5.75</v>
      </c>
      <c r="G1339" s="431">
        <v>6.44</v>
      </c>
      <c r="H1339" s="431">
        <v>6.25</v>
      </c>
      <c r="I1339" s="431">
        <v>6.01</v>
      </c>
      <c r="J1339" s="431">
        <v>5.47</v>
      </c>
      <c r="K1339" s="431">
        <v>5.37</v>
      </c>
      <c r="L1339" s="431">
        <v>5.18</v>
      </c>
      <c r="M1339" s="431">
        <v>4.8099999999999996</v>
      </c>
      <c r="N1339" s="431">
        <v>4.88</v>
      </c>
      <c r="O1339" s="431">
        <v>4.88</v>
      </c>
      <c r="P1339" s="431">
        <v>4.46</v>
      </c>
      <c r="Q1339" s="179">
        <f t="shared" si="39"/>
        <v>5.3649999999999993</v>
      </c>
      <c r="R1339" s="179" t="s">
        <v>958</v>
      </c>
    </row>
    <row r="1340" spans="1:18" x14ac:dyDescent="0.15">
      <c r="A1340" s="179" t="str">
        <f t="shared" si="38"/>
        <v>Naulcapan de Juarez_Optimal Summer_225</v>
      </c>
      <c r="B1340" s="501" t="s">
        <v>1003</v>
      </c>
      <c r="C1340" s="429">
        <v>5</v>
      </c>
      <c r="D1340" s="429">
        <v>225</v>
      </c>
      <c r="E1340" s="431">
        <v>4.75</v>
      </c>
      <c r="F1340" s="431">
        <v>5.6</v>
      </c>
      <c r="G1340" s="431">
        <v>6.28</v>
      </c>
      <c r="H1340" s="431">
        <v>6.09</v>
      </c>
      <c r="I1340" s="431">
        <v>5.85</v>
      </c>
      <c r="J1340" s="431">
        <v>5.33</v>
      </c>
      <c r="K1340" s="431">
        <v>5.23</v>
      </c>
      <c r="L1340" s="431">
        <v>5.04</v>
      </c>
      <c r="M1340" s="431">
        <v>4.68</v>
      </c>
      <c r="N1340" s="431">
        <v>4.75</v>
      </c>
      <c r="O1340" s="431">
        <v>4.75</v>
      </c>
      <c r="P1340" s="431">
        <v>4.34</v>
      </c>
      <c r="Q1340" s="179">
        <f t="shared" si="39"/>
        <v>5.2241666666666662</v>
      </c>
      <c r="R1340" s="179" t="s">
        <v>958</v>
      </c>
    </row>
    <row r="1341" spans="1:18" x14ac:dyDescent="0.15">
      <c r="A1341" s="179" t="str">
        <f t="shared" si="38"/>
        <v>Naulcapan de Juarez_Optimal Summer_247.5</v>
      </c>
      <c r="B1341" s="501" t="s">
        <v>1003</v>
      </c>
      <c r="C1341" s="429">
        <v>5</v>
      </c>
      <c r="D1341" s="429">
        <v>247.5</v>
      </c>
      <c r="E1341" s="431">
        <v>4.38</v>
      </c>
      <c r="F1341" s="431">
        <v>5.16</v>
      </c>
      <c r="G1341" s="431">
        <v>5.78</v>
      </c>
      <c r="H1341" s="431">
        <v>5.61</v>
      </c>
      <c r="I1341" s="431">
        <v>5.39</v>
      </c>
      <c r="J1341" s="431">
        <v>4.91</v>
      </c>
      <c r="K1341" s="431">
        <v>4.82</v>
      </c>
      <c r="L1341" s="431">
        <v>4.6500000000000004</v>
      </c>
      <c r="M1341" s="431">
        <v>4.3099999999999996</v>
      </c>
      <c r="N1341" s="431">
        <v>4.38</v>
      </c>
      <c r="O1341" s="431">
        <v>4.38</v>
      </c>
      <c r="P1341" s="431">
        <v>4</v>
      </c>
      <c r="Q1341" s="179">
        <f t="shared" si="39"/>
        <v>4.8141666666666669</v>
      </c>
      <c r="R1341" s="179" t="s">
        <v>958</v>
      </c>
    </row>
    <row r="1342" spans="1:18" x14ac:dyDescent="0.15">
      <c r="A1342" s="179" t="str">
        <f t="shared" si="38"/>
        <v>Naulcapan de Juarez_Optimal Summer_270</v>
      </c>
      <c r="B1342" s="501" t="s">
        <v>1003</v>
      </c>
      <c r="C1342" s="429">
        <v>5</v>
      </c>
      <c r="D1342" s="429">
        <v>270</v>
      </c>
      <c r="E1342" s="431">
        <v>4</v>
      </c>
      <c r="F1342" s="431">
        <v>4.72</v>
      </c>
      <c r="G1342" s="431">
        <v>5.29</v>
      </c>
      <c r="H1342" s="431">
        <v>5.13</v>
      </c>
      <c r="I1342" s="431">
        <v>4.93</v>
      </c>
      <c r="J1342" s="431">
        <v>4.49</v>
      </c>
      <c r="K1342" s="431">
        <v>4.41</v>
      </c>
      <c r="L1342" s="431">
        <v>4.25</v>
      </c>
      <c r="M1342" s="431">
        <v>3.94</v>
      </c>
      <c r="N1342" s="431">
        <v>4</v>
      </c>
      <c r="O1342" s="431">
        <v>4</v>
      </c>
      <c r="P1342" s="431">
        <v>3.66</v>
      </c>
      <c r="Q1342" s="179">
        <f t="shared" si="39"/>
        <v>4.4016666666666664</v>
      </c>
      <c r="R1342" s="179" t="s">
        <v>958</v>
      </c>
    </row>
    <row r="1343" spans="1:18" x14ac:dyDescent="0.15">
      <c r="A1343" s="179" t="str">
        <f t="shared" si="38"/>
        <v>Naulcapan de Juarez_Optimal Year Round_90</v>
      </c>
      <c r="B1343" s="501" t="s">
        <v>1003</v>
      </c>
      <c r="C1343" s="429">
        <v>20</v>
      </c>
      <c r="D1343" s="429">
        <v>90</v>
      </c>
      <c r="E1343" s="431">
        <v>4.62</v>
      </c>
      <c r="F1343" s="431">
        <v>5.22</v>
      </c>
      <c r="G1343" s="431">
        <v>5.5</v>
      </c>
      <c r="H1343" s="431">
        <v>5.03</v>
      </c>
      <c r="I1343" s="431">
        <v>4.63</v>
      </c>
      <c r="J1343" s="431">
        <v>4.47</v>
      </c>
      <c r="K1343" s="431">
        <v>4.37</v>
      </c>
      <c r="L1343" s="431">
        <v>4.1100000000000003</v>
      </c>
      <c r="M1343" s="431">
        <v>3.98</v>
      </c>
      <c r="N1343" s="431">
        <v>4.26</v>
      </c>
      <c r="O1343" s="431">
        <v>4.54</v>
      </c>
      <c r="P1343" s="431">
        <v>4.2300000000000004</v>
      </c>
      <c r="Q1343" s="179">
        <f t="shared" si="39"/>
        <v>4.5799999999999992</v>
      </c>
      <c r="R1343" s="179" t="s">
        <v>993</v>
      </c>
    </row>
    <row r="1344" spans="1:18" x14ac:dyDescent="0.15">
      <c r="A1344" s="179" t="str">
        <f t="shared" si="38"/>
        <v>Naulcapan de Juarez_Optimal Year Round_112.5</v>
      </c>
      <c r="B1344" s="501" t="s">
        <v>1003</v>
      </c>
      <c r="C1344" s="429">
        <v>20</v>
      </c>
      <c r="D1344" s="429">
        <v>112.5</v>
      </c>
      <c r="E1344" s="431">
        <v>5.0599999999999996</v>
      </c>
      <c r="F1344" s="431">
        <v>5.7</v>
      </c>
      <c r="G1344" s="431">
        <v>6.02</v>
      </c>
      <c r="H1344" s="431">
        <v>5.5</v>
      </c>
      <c r="I1344" s="431">
        <v>5.07</v>
      </c>
      <c r="J1344" s="431">
        <v>4.8899999999999997</v>
      </c>
      <c r="K1344" s="431">
        <v>4.78</v>
      </c>
      <c r="L1344" s="431">
        <v>4.5</v>
      </c>
      <c r="M1344" s="431">
        <v>4.3499999999999996</v>
      </c>
      <c r="N1344" s="431">
        <v>4.66</v>
      </c>
      <c r="O1344" s="431">
        <v>4.97</v>
      </c>
      <c r="P1344" s="431">
        <v>4.63</v>
      </c>
      <c r="Q1344" s="179">
        <f t="shared" si="39"/>
        <v>5.0108333333333333</v>
      </c>
      <c r="R1344" s="179" t="s">
        <v>993</v>
      </c>
    </row>
    <row r="1345" spans="1:18" x14ac:dyDescent="0.15">
      <c r="A1345" s="179" t="str">
        <f t="shared" si="38"/>
        <v>Naulcapan de Juarez_Optimal Year Round_135</v>
      </c>
      <c r="B1345" s="501" t="s">
        <v>1003</v>
      </c>
      <c r="C1345" s="429">
        <v>20</v>
      </c>
      <c r="D1345" s="429">
        <v>135</v>
      </c>
      <c r="E1345" s="431">
        <v>5.49</v>
      </c>
      <c r="F1345" s="431">
        <v>6.19</v>
      </c>
      <c r="G1345" s="431">
        <v>6.54</v>
      </c>
      <c r="H1345" s="431">
        <v>5.98</v>
      </c>
      <c r="I1345" s="431">
        <v>5.5</v>
      </c>
      <c r="J1345" s="431">
        <v>5.31</v>
      </c>
      <c r="K1345" s="431">
        <v>5.19</v>
      </c>
      <c r="L1345" s="431">
        <v>4.88</v>
      </c>
      <c r="M1345" s="431">
        <v>4.72</v>
      </c>
      <c r="N1345" s="431">
        <v>5.0599999999999996</v>
      </c>
      <c r="O1345" s="431">
        <v>5.4</v>
      </c>
      <c r="P1345" s="431">
        <v>5.03</v>
      </c>
      <c r="Q1345" s="179">
        <f t="shared" si="39"/>
        <v>5.440833333333333</v>
      </c>
      <c r="R1345" s="179" t="s">
        <v>993</v>
      </c>
    </row>
    <row r="1346" spans="1:18" x14ac:dyDescent="0.15">
      <c r="A1346" s="179" t="str">
        <f t="shared" ref="A1346:A1409" si="40">B1346&amp;"_"&amp;R1346&amp;"_"&amp;D1346</f>
        <v>Naulcapan de Juarez_Optimal Year Round_157.5</v>
      </c>
      <c r="B1346" s="501" t="s">
        <v>1003</v>
      </c>
      <c r="C1346" s="429">
        <v>20</v>
      </c>
      <c r="D1346" s="429">
        <v>157.5</v>
      </c>
      <c r="E1346" s="431">
        <v>5.64</v>
      </c>
      <c r="F1346" s="431">
        <v>6.36</v>
      </c>
      <c r="G1346" s="431">
        <v>6.71</v>
      </c>
      <c r="H1346" s="431">
        <v>6.13</v>
      </c>
      <c r="I1346" s="431">
        <v>5.65</v>
      </c>
      <c r="J1346" s="431">
        <v>5.45</v>
      </c>
      <c r="K1346" s="431">
        <v>5.32</v>
      </c>
      <c r="L1346" s="431">
        <v>5.01</v>
      </c>
      <c r="M1346" s="431">
        <v>4.8499999999999996</v>
      </c>
      <c r="N1346" s="431">
        <v>5.2</v>
      </c>
      <c r="O1346" s="431">
        <v>5.54</v>
      </c>
      <c r="P1346" s="431">
        <v>5.16</v>
      </c>
      <c r="Q1346" s="179">
        <f t="shared" ref="Q1346:Q1409" si="41">AVERAGE(E1346:P1346)</f>
        <v>5.5850000000000009</v>
      </c>
      <c r="R1346" s="179" t="s">
        <v>993</v>
      </c>
    </row>
    <row r="1347" spans="1:18" x14ac:dyDescent="0.15">
      <c r="A1347" s="179" t="str">
        <f t="shared" si="40"/>
        <v>Naulcapan de Juarez_Optimal Year Round_180</v>
      </c>
      <c r="B1347" s="501" t="s">
        <v>1003</v>
      </c>
      <c r="C1347" s="429">
        <v>20</v>
      </c>
      <c r="D1347" s="429">
        <v>180</v>
      </c>
      <c r="E1347" s="431">
        <v>5.78</v>
      </c>
      <c r="F1347" s="431">
        <v>6.52</v>
      </c>
      <c r="G1347" s="431">
        <v>6.88</v>
      </c>
      <c r="H1347" s="431">
        <v>6.29</v>
      </c>
      <c r="I1347" s="431">
        <v>5.79</v>
      </c>
      <c r="J1347" s="431">
        <v>5.59</v>
      </c>
      <c r="K1347" s="431">
        <v>5.46</v>
      </c>
      <c r="L1347" s="431">
        <v>5.14</v>
      </c>
      <c r="M1347" s="431">
        <v>4.97</v>
      </c>
      <c r="N1347" s="431">
        <v>5.33</v>
      </c>
      <c r="O1347" s="431">
        <v>5.68</v>
      </c>
      <c r="P1347" s="431">
        <v>5.29</v>
      </c>
      <c r="Q1347" s="179">
        <f t="shared" si="41"/>
        <v>5.7266666666666666</v>
      </c>
      <c r="R1347" s="179" t="s">
        <v>993</v>
      </c>
    </row>
    <row r="1348" spans="1:18" x14ac:dyDescent="0.15">
      <c r="A1348" s="179" t="str">
        <f t="shared" si="40"/>
        <v>Naulcapan de Juarez_Optimal Year Round_202.5</v>
      </c>
      <c r="B1348" s="501" t="s">
        <v>1003</v>
      </c>
      <c r="C1348" s="429">
        <v>20</v>
      </c>
      <c r="D1348" s="429">
        <v>202.5</v>
      </c>
      <c r="E1348" s="431">
        <v>5.64</v>
      </c>
      <c r="F1348" s="431">
        <v>6.36</v>
      </c>
      <c r="G1348" s="431">
        <v>6.71</v>
      </c>
      <c r="H1348" s="431">
        <v>6.13</v>
      </c>
      <c r="I1348" s="431">
        <v>5.65</v>
      </c>
      <c r="J1348" s="431">
        <v>5.45</v>
      </c>
      <c r="K1348" s="431">
        <v>5.32</v>
      </c>
      <c r="L1348" s="431">
        <v>5.01</v>
      </c>
      <c r="M1348" s="431">
        <v>4.8499999999999996</v>
      </c>
      <c r="N1348" s="431">
        <v>5.2</v>
      </c>
      <c r="O1348" s="431">
        <v>5.54</v>
      </c>
      <c r="P1348" s="431">
        <v>5.16</v>
      </c>
      <c r="Q1348" s="179">
        <f t="shared" si="41"/>
        <v>5.5850000000000009</v>
      </c>
      <c r="R1348" s="179" t="s">
        <v>993</v>
      </c>
    </row>
    <row r="1349" spans="1:18" x14ac:dyDescent="0.15">
      <c r="A1349" s="179" t="str">
        <f t="shared" si="40"/>
        <v>Naulcapan de Juarez_Optimal Year Round_225</v>
      </c>
      <c r="B1349" s="501" t="s">
        <v>1003</v>
      </c>
      <c r="C1349" s="429">
        <v>20</v>
      </c>
      <c r="D1349" s="429">
        <v>225</v>
      </c>
      <c r="E1349" s="431">
        <v>5.49</v>
      </c>
      <c r="F1349" s="431">
        <v>6.19</v>
      </c>
      <c r="G1349" s="431">
        <v>6.54</v>
      </c>
      <c r="H1349" s="431">
        <v>5.98</v>
      </c>
      <c r="I1349" s="431">
        <v>5.5</v>
      </c>
      <c r="J1349" s="431">
        <v>5.31</v>
      </c>
      <c r="K1349" s="431">
        <v>5.19</v>
      </c>
      <c r="L1349" s="431">
        <v>4.88</v>
      </c>
      <c r="M1349" s="431">
        <v>4.72</v>
      </c>
      <c r="N1349" s="431">
        <v>5.0599999999999996</v>
      </c>
      <c r="O1349" s="431">
        <v>5.4</v>
      </c>
      <c r="P1349" s="431">
        <v>5.03</v>
      </c>
      <c r="Q1349" s="179">
        <f t="shared" si="41"/>
        <v>5.440833333333333</v>
      </c>
      <c r="R1349" s="179" t="s">
        <v>993</v>
      </c>
    </row>
    <row r="1350" spans="1:18" x14ac:dyDescent="0.15">
      <c r="A1350" s="179" t="str">
        <f t="shared" si="40"/>
        <v>Naulcapan de Juarez_Optimal Year Round_247.5</v>
      </c>
      <c r="B1350" s="501" t="s">
        <v>1003</v>
      </c>
      <c r="C1350" s="429">
        <v>20</v>
      </c>
      <c r="D1350" s="429">
        <v>247.5</v>
      </c>
      <c r="E1350" s="431">
        <v>5.0599999999999996</v>
      </c>
      <c r="F1350" s="431">
        <v>5.7</v>
      </c>
      <c r="G1350" s="431">
        <v>6.02</v>
      </c>
      <c r="H1350" s="431">
        <v>5.5</v>
      </c>
      <c r="I1350" s="431">
        <v>5.07</v>
      </c>
      <c r="J1350" s="431">
        <v>4.8899999999999997</v>
      </c>
      <c r="K1350" s="431">
        <v>4.78</v>
      </c>
      <c r="L1350" s="431">
        <v>4.5</v>
      </c>
      <c r="M1350" s="431">
        <v>4.3499999999999996</v>
      </c>
      <c r="N1350" s="431">
        <v>4.66</v>
      </c>
      <c r="O1350" s="431">
        <v>4.97</v>
      </c>
      <c r="P1350" s="431">
        <v>4.63</v>
      </c>
      <c r="Q1350" s="179">
        <f t="shared" si="41"/>
        <v>5.0108333333333333</v>
      </c>
      <c r="R1350" s="179" t="s">
        <v>993</v>
      </c>
    </row>
    <row r="1351" spans="1:18" x14ac:dyDescent="0.15">
      <c r="A1351" s="179" t="str">
        <f t="shared" si="40"/>
        <v>Naulcapan de Juarez_Optimal Year Round_270</v>
      </c>
      <c r="B1351" s="501" t="s">
        <v>1003</v>
      </c>
      <c r="C1351" s="429">
        <v>20</v>
      </c>
      <c r="D1351" s="429">
        <v>270</v>
      </c>
      <c r="E1351" s="431">
        <v>4.62</v>
      </c>
      <c r="F1351" s="431">
        <v>5.22</v>
      </c>
      <c r="G1351" s="431">
        <v>5.5</v>
      </c>
      <c r="H1351" s="431">
        <v>5.03</v>
      </c>
      <c r="I1351" s="431">
        <v>4.63</v>
      </c>
      <c r="J1351" s="431">
        <v>4.47</v>
      </c>
      <c r="K1351" s="431">
        <v>4.37</v>
      </c>
      <c r="L1351" s="431">
        <v>4.1100000000000003</v>
      </c>
      <c r="M1351" s="431">
        <v>3.98</v>
      </c>
      <c r="N1351" s="431">
        <v>4.26</v>
      </c>
      <c r="O1351" s="431">
        <v>4.54</v>
      </c>
      <c r="P1351" s="431">
        <v>4.2300000000000004</v>
      </c>
      <c r="Q1351" s="179">
        <f t="shared" si="41"/>
        <v>4.5799999999999992</v>
      </c>
      <c r="R1351" s="179" t="s">
        <v>993</v>
      </c>
    </row>
    <row r="1352" spans="1:18" x14ac:dyDescent="0.15">
      <c r="A1352" s="179" t="str">
        <f t="shared" si="40"/>
        <v>Nicolas Romero_Flat Surface_90</v>
      </c>
      <c r="B1352" s="501" t="s">
        <v>1152</v>
      </c>
      <c r="C1352" s="429">
        <v>0</v>
      </c>
      <c r="D1352" s="429">
        <v>90</v>
      </c>
      <c r="E1352" s="431">
        <v>4.74</v>
      </c>
      <c r="F1352" s="431">
        <v>5.68</v>
      </c>
      <c r="G1352" s="431">
        <v>6.47</v>
      </c>
      <c r="H1352" s="431">
        <v>6.38</v>
      </c>
      <c r="I1352" s="431">
        <v>6.21</v>
      </c>
      <c r="J1352" s="431">
        <v>5.57</v>
      </c>
      <c r="K1352" s="431">
        <v>5.48</v>
      </c>
      <c r="L1352" s="431">
        <v>5.31</v>
      </c>
      <c r="M1352" s="431">
        <v>4.88</v>
      </c>
      <c r="N1352" s="431">
        <v>4.87</v>
      </c>
      <c r="O1352" s="431">
        <v>4.7699999999999996</v>
      </c>
      <c r="P1352" s="431">
        <v>4.34</v>
      </c>
      <c r="Q1352" s="179">
        <f t="shared" si="41"/>
        <v>5.3916666666666666</v>
      </c>
      <c r="R1352" s="179" t="s">
        <v>994</v>
      </c>
    </row>
    <row r="1353" spans="1:18" x14ac:dyDescent="0.15">
      <c r="A1353" s="179" t="str">
        <f t="shared" si="40"/>
        <v>Nicolas Romero_Flat Surface_112.5</v>
      </c>
      <c r="B1353" s="501" t="s">
        <v>1152</v>
      </c>
      <c r="C1353" s="429">
        <v>0</v>
      </c>
      <c r="D1353" s="429">
        <v>112.5</v>
      </c>
      <c r="E1353" s="431">
        <v>4.74</v>
      </c>
      <c r="F1353" s="431">
        <v>5.68</v>
      </c>
      <c r="G1353" s="431">
        <v>6.47</v>
      </c>
      <c r="H1353" s="431">
        <v>6.38</v>
      </c>
      <c r="I1353" s="431">
        <v>6.21</v>
      </c>
      <c r="J1353" s="431">
        <v>5.57</v>
      </c>
      <c r="K1353" s="431">
        <v>5.48</v>
      </c>
      <c r="L1353" s="431">
        <v>5.31</v>
      </c>
      <c r="M1353" s="431">
        <v>4.88</v>
      </c>
      <c r="N1353" s="431">
        <v>4.87</v>
      </c>
      <c r="O1353" s="431">
        <v>4.7699999999999996</v>
      </c>
      <c r="P1353" s="431">
        <v>4.34</v>
      </c>
      <c r="Q1353" s="179">
        <f t="shared" si="41"/>
        <v>5.3916666666666666</v>
      </c>
      <c r="R1353" s="179" t="s">
        <v>994</v>
      </c>
    </row>
    <row r="1354" spans="1:18" x14ac:dyDescent="0.15">
      <c r="A1354" s="179" t="str">
        <f t="shared" si="40"/>
        <v>Nicolas Romero_Flat Surface_135</v>
      </c>
      <c r="B1354" s="501" t="s">
        <v>1152</v>
      </c>
      <c r="C1354" s="429">
        <v>0</v>
      </c>
      <c r="D1354" s="429">
        <v>135</v>
      </c>
      <c r="E1354" s="431">
        <v>4.74</v>
      </c>
      <c r="F1354" s="431">
        <v>5.68</v>
      </c>
      <c r="G1354" s="431">
        <v>6.47</v>
      </c>
      <c r="H1354" s="431">
        <v>6.38</v>
      </c>
      <c r="I1354" s="431">
        <v>6.21</v>
      </c>
      <c r="J1354" s="431">
        <v>5.57</v>
      </c>
      <c r="K1354" s="431">
        <v>5.48</v>
      </c>
      <c r="L1354" s="431">
        <v>5.31</v>
      </c>
      <c r="M1354" s="431">
        <v>4.88</v>
      </c>
      <c r="N1354" s="431">
        <v>4.87</v>
      </c>
      <c r="O1354" s="431">
        <v>4.7699999999999996</v>
      </c>
      <c r="P1354" s="431">
        <v>4.34</v>
      </c>
      <c r="Q1354" s="179">
        <f t="shared" si="41"/>
        <v>5.3916666666666666</v>
      </c>
      <c r="R1354" s="179" t="s">
        <v>994</v>
      </c>
    </row>
    <row r="1355" spans="1:18" x14ac:dyDescent="0.15">
      <c r="A1355" s="179" t="str">
        <f t="shared" si="40"/>
        <v>Nicolas Romero_Flat Surface_157.5</v>
      </c>
      <c r="B1355" s="501" t="s">
        <v>1152</v>
      </c>
      <c r="C1355" s="429">
        <v>0</v>
      </c>
      <c r="D1355" s="429">
        <v>157.5</v>
      </c>
      <c r="E1355" s="431">
        <v>4.74</v>
      </c>
      <c r="F1355" s="431">
        <v>5.68</v>
      </c>
      <c r="G1355" s="431">
        <v>6.47</v>
      </c>
      <c r="H1355" s="431">
        <v>6.38</v>
      </c>
      <c r="I1355" s="431">
        <v>6.21</v>
      </c>
      <c r="J1355" s="431">
        <v>5.57</v>
      </c>
      <c r="K1355" s="431">
        <v>5.48</v>
      </c>
      <c r="L1355" s="431">
        <v>5.31</v>
      </c>
      <c r="M1355" s="431">
        <v>4.88</v>
      </c>
      <c r="N1355" s="431">
        <v>4.87</v>
      </c>
      <c r="O1355" s="431">
        <v>4.7699999999999996</v>
      </c>
      <c r="P1355" s="431">
        <v>4.34</v>
      </c>
      <c r="Q1355" s="179">
        <f t="shared" si="41"/>
        <v>5.3916666666666666</v>
      </c>
      <c r="R1355" s="179" t="s">
        <v>994</v>
      </c>
    </row>
    <row r="1356" spans="1:18" x14ac:dyDescent="0.15">
      <c r="A1356" s="179" t="str">
        <f t="shared" si="40"/>
        <v>Nicolas Romero_Flat Surface_180</v>
      </c>
      <c r="B1356" s="501" t="s">
        <v>1152</v>
      </c>
      <c r="C1356" s="429">
        <v>0</v>
      </c>
      <c r="D1356" s="429">
        <v>180</v>
      </c>
      <c r="E1356" s="431">
        <v>4.74</v>
      </c>
      <c r="F1356" s="431">
        <v>5.68</v>
      </c>
      <c r="G1356" s="431">
        <v>6.47</v>
      </c>
      <c r="H1356" s="431">
        <v>6.38</v>
      </c>
      <c r="I1356" s="431">
        <v>6.21</v>
      </c>
      <c r="J1356" s="431">
        <v>5.57</v>
      </c>
      <c r="K1356" s="431">
        <v>5.48</v>
      </c>
      <c r="L1356" s="431">
        <v>5.31</v>
      </c>
      <c r="M1356" s="431">
        <v>4.88</v>
      </c>
      <c r="N1356" s="431">
        <v>4.87</v>
      </c>
      <c r="O1356" s="431">
        <v>4.7699999999999996</v>
      </c>
      <c r="P1356" s="431">
        <v>4.34</v>
      </c>
      <c r="Q1356" s="179">
        <f t="shared" si="41"/>
        <v>5.3916666666666666</v>
      </c>
      <c r="R1356" s="179" t="s">
        <v>994</v>
      </c>
    </row>
    <row r="1357" spans="1:18" x14ac:dyDescent="0.15">
      <c r="A1357" s="179" t="str">
        <f t="shared" si="40"/>
        <v>Nicolas Romero_Flat Surface_202.5</v>
      </c>
      <c r="B1357" s="501" t="s">
        <v>1152</v>
      </c>
      <c r="C1357" s="429">
        <v>0</v>
      </c>
      <c r="D1357" s="429">
        <v>202.5</v>
      </c>
      <c r="E1357" s="431">
        <v>4.74</v>
      </c>
      <c r="F1357" s="431">
        <v>5.68</v>
      </c>
      <c r="G1357" s="431">
        <v>6.47</v>
      </c>
      <c r="H1357" s="431">
        <v>6.38</v>
      </c>
      <c r="I1357" s="431">
        <v>6.21</v>
      </c>
      <c r="J1357" s="431">
        <v>5.57</v>
      </c>
      <c r="K1357" s="431">
        <v>5.48</v>
      </c>
      <c r="L1357" s="431">
        <v>5.31</v>
      </c>
      <c r="M1357" s="431">
        <v>4.88</v>
      </c>
      <c r="N1357" s="431">
        <v>4.87</v>
      </c>
      <c r="O1357" s="431">
        <v>4.7699999999999996</v>
      </c>
      <c r="P1357" s="431">
        <v>4.34</v>
      </c>
      <c r="Q1357" s="179">
        <f t="shared" si="41"/>
        <v>5.3916666666666666</v>
      </c>
      <c r="R1357" s="179" t="s">
        <v>994</v>
      </c>
    </row>
    <row r="1358" spans="1:18" x14ac:dyDescent="0.15">
      <c r="A1358" s="179" t="str">
        <f t="shared" si="40"/>
        <v>Nicolas Romero_Flat Surface_225</v>
      </c>
      <c r="B1358" s="501" t="s">
        <v>1152</v>
      </c>
      <c r="C1358" s="429">
        <v>0</v>
      </c>
      <c r="D1358" s="429">
        <v>225</v>
      </c>
      <c r="E1358" s="431">
        <v>4.74</v>
      </c>
      <c r="F1358" s="431">
        <v>5.68</v>
      </c>
      <c r="G1358" s="431">
        <v>6.47</v>
      </c>
      <c r="H1358" s="431">
        <v>6.38</v>
      </c>
      <c r="I1358" s="431">
        <v>6.21</v>
      </c>
      <c r="J1358" s="431">
        <v>5.57</v>
      </c>
      <c r="K1358" s="431">
        <v>5.48</v>
      </c>
      <c r="L1358" s="431">
        <v>5.31</v>
      </c>
      <c r="M1358" s="431">
        <v>4.88</v>
      </c>
      <c r="N1358" s="431">
        <v>4.87</v>
      </c>
      <c r="O1358" s="431">
        <v>4.7699999999999996</v>
      </c>
      <c r="P1358" s="431">
        <v>4.34</v>
      </c>
      <c r="Q1358" s="179">
        <f t="shared" si="41"/>
        <v>5.3916666666666666</v>
      </c>
      <c r="R1358" s="179" t="s">
        <v>994</v>
      </c>
    </row>
    <row r="1359" spans="1:18" x14ac:dyDescent="0.15">
      <c r="A1359" s="179" t="str">
        <f t="shared" si="40"/>
        <v>Nicolas Romero_Flat Surface_247.5</v>
      </c>
      <c r="B1359" s="501" t="s">
        <v>1152</v>
      </c>
      <c r="C1359" s="429">
        <v>0</v>
      </c>
      <c r="D1359" s="429">
        <v>247.5</v>
      </c>
      <c r="E1359" s="431">
        <v>4.74</v>
      </c>
      <c r="F1359" s="431">
        <v>5.68</v>
      </c>
      <c r="G1359" s="431">
        <v>6.47</v>
      </c>
      <c r="H1359" s="431">
        <v>6.38</v>
      </c>
      <c r="I1359" s="431">
        <v>6.21</v>
      </c>
      <c r="J1359" s="431">
        <v>5.57</v>
      </c>
      <c r="K1359" s="431">
        <v>5.48</v>
      </c>
      <c r="L1359" s="431">
        <v>5.31</v>
      </c>
      <c r="M1359" s="431">
        <v>4.88</v>
      </c>
      <c r="N1359" s="431">
        <v>4.87</v>
      </c>
      <c r="O1359" s="431">
        <v>4.7699999999999996</v>
      </c>
      <c r="P1359" s="431">
        <v>4.34</v>
      </c>
      <c r="Q1359" s="179">
        <f t="shared" si="41"/>
        <v>5.3916666666666666</v>
      </c>
      <c r="R1359" s="179" t="s">
        <v>994</v>
      </c>
    </row>
    <row r="1360" spans="1:18" x14ac:dyDescent="0.15">
      <c r="A1360" s="179" t="str">
        <f t="shared" si="40"/>
        <v>Nicolas Romero_Flat Surface_270</v>
      </c>
      <c r="B1360" s="501" t="s">
        <v>1152</v>
      </c>
      <c r="C1360" s="429">
        <v>0</v>
      </c>
      <c r="D1360" s="429">
        <v>270</v>
      </c>
      <c r="E1360" s="431">
        <v>4.74</v>
      </c>
      <c r="F1360" s="431">
        <v>5.68</v>
      </c>
      <c r="G1360" s="431">
        <v>6.47</v>
      </c>
      <c r="H1360" s="431">
        <v>6.38</v>
      </c>
      <c r="I1360" s="431">
        <v>6.21</v>
      </c>
      <c r="J1360" s="431">
        <v>5.57</v>
      </c>
      <c r="K1360" s="431">
        <v>5.48</v>
      </c>
      <c r="L1360" s="431">
        <v>5.31</v>
      </c>
      <c r="M1360" s="431">
        <v>4.88</v>
      </c>
      <c r="N1360" s="431">
        <v>4.87</v>
      </c>
      <c r="O1360" s="431">
        <v>4.7699999999999996</v>
      </c>
      <c r="P1360" s="431">
        <v>4.34</v>
      </c>
      <c r="Q1360" s="179">
        <f t="shared" si="41"/>
        <v>5.3916666666666666</v>
      </c>
      <c r="R1360" s="179" t="s">
        <v>994</v>
      </c>
    </row>
    <row r="1361" spans="1:18" x14ac:dyDescent="0.15">
      <c r="A1361" s="179" t="str">
        <f t="shared" si="40"/>
        <v>Nicolas Romero_Optimal Summer_90</v>
      </c>
      <c r="B1361" s="501" t="s">
        <v>1152</v>
      </c>
      <c r="C1361" s="429">
        <v>5</v>
      </c>
      <c r="D1361" s="429">
        <v>90</v>
      </c>
      <c r="E1361" s="431">
        <v>4</v>
      </c>
      <c r="F1361" s="431">
        <v>4.72</v>
      </c>
      <c r="G1361" s="431">
        <v>5.29</v>
      </c>
      <c r="H1361" s="431">
        <v>5.13</v>
      </c>
      <c r="I1361" s="431">
        <v>4.93</v>
      </c>
      <c r="J1361" s="431">
        <v>4.49</v>
      </c>
      <c r="K1361" s="431">
        <v>4.41</v>
      </c>
      <c r="L1361" s="431">
        <v>4.25</v>
      </c>
      <c r="M1361" s="431">
        <v>3.94</v>
      </c>
      <c r="N1361" s="431">
        <v>4.01</v>
      </c>
      <c r="O1361" s="431">
        <v>4</v>
      </c>
      <c r="P1361" s="431">
        <v>3.66</v>
      </c>
      <c r="Q1361" s="179">
        <f t="shared" si="41"/>
        <v>4.4024999999999999</v>
      </c>
      <c r="R1361" s="179" t="s">
        <v>958</v>
      </c>
    </row>
    <row r="1362" spans="1:18" x14ac:dyDescent="0.15">
      <c r="A1362" s="179" t="str">
        <f t="shared" si="40"/>
        <v>Nicolas Romero_Optimal Summer_112.5</v>
      </c>
      <c r="B1362" s="501" t="s">
        <v>1152</v>
      </c>
      <c r="C1362" s="429">
        <v>5</v>
      </c>
      <c r="D1362" s="429">
        <v>112.5</v>
      </c>
      <c r="E1362" s="431">
        <v>4.38</v>
      </c>
      <c r="F1362" s="431">
        <v>5.16</v>
      </c>
      <c r="G1362" s="431">
        <v>5.78</v>
      </c>
      <c r="H1362" s="431">
        <v>5.61</v>
      </c>
      <c r="I1362" s="431">
        <v>5.39</v>
      </c>
      <c r="J1362" s="431">
        <v>4.91</v>
      </c>
      <c r="K1362" s="431">
        <v>4.82</v>
      </c>
      <c r="L1362" s="431">
        <v>4.6500000000000004</v>
      </c>
      <c r="M1362" s="431">
        <v>4.3099999999999996</v>
      </c>
      <c r="N1362" s="431">
        <v>4.38</v>
      </c>
      <c r="O1362" s="431">
        <v>4.38</v>
      </c>
      <c r="P1362" s="431">
        <v>4.01</v>
      </c>
      <c r="Q1362" s="179">
        <f t="shared" si="41"/>
        <v>4.8150000000000004</v>
      </c>
      <c r="R1362" s="179" t="s">
        <v>958</v>
      </c>
    </row>
    <row r="1363" spans="1:18" x14ac:dyDescent="0.15">
      <c r="A1363" s="179" t="str">
        <f t="shared" si="40"/>
        <v>Nicolas Romero_Optimal Summer_135</v>
      </c>
      <c r="B1363" s="501" t="s">
        <v>1152</v>
      </c>
      <c r="C1363" s="429">
        <v>5</v>
      </c>
      <c r="D1363" s="429">
        <v>135</v>
      </c>
      <c r="E1363" s="431">
        <v>4.75</v>
      </c>
      <c r="F1363" s="431">
        <v>5.6</v>
      </c>
      <c r="G1363" s="431">
        <v>6.28</v>
      </c>
      <c r="H1363" s="431">
        <v>6.09</v>
      </c>
      <c r="I1363" s="431">
        <v>5.85</v>
      </c>
      <c r="J1363" s="431">
        <v>5.33</v>
      </c>
      <c r="K1363" s="431">
        <v>5.23</v>
      </c>
      <c r="L1363" s="431">
        <v>5.04</v>
      </c>
      <c r="M1363" s="431">
        <v>4.68</v>
      </c>
      <c r="N1363" s="431">
        <v>4.76</v>
      </c>
      <c r="O1363" s="431">
        <v>4.75</v>
      </c>
      <c r="P1363" s="431">
        <v>4.3499999999999996</v>
      </c>
      <c r="Q1363" s="179">
        <f t="shared" si="41"/>
        <v>5.2258333333333331</v>
      </c>
      <c r="R1363" s="179" t="s">
        <v>958</v>
      </c>
    </row>
    <row r="1364" spans="1:18" x14ac:dyDescent="0.15">
      <c r="A1364" s="179" t="str">
        <f t="shared" si="40"/>
        <v>Nicolas Romero_Optimal Summer_157.5</v>
      </c>
      <c r="B1364" s="501" t="s">
        <v>1152</v>
      </c>
      <c r="C1364" s="429">
        <v>5</v>
      </c>
      <c r="D1364" s="429">
        <v>157.5</v>
      </c>
      <c r="E1364" s="431">
        <v>4.88</v>
      </c>
      <c r="F1364" s="431">
        <v>5.75</v>
      </c>
      <c r="G1364" s="431">
        <v>6.44</v>
      </c>
      <c r="H1364" s="431">
        <v>6.25</v>
      </c>
      <c r="I1364" s="431">
        <v>6.01</v>
      </c>
      <c r="J1364" s="431">
        <v>5.47</v>
      </c>
      <c r="K1364" s="431">
        <v>5.37</v>
      </c>
      <c r="L1364" s="431">
        <v>5.18</v>
      </c>
      <c r="M1364" s="431">
        <v>4.8099999999999996</v>
      </c>
      <c r="N1364" s="431">
        <v>4.88</v>
      </c>
      <c r="O1364" s="431">
        <v>4.88</v>
      </c>
      <c r="P1364" s="431">
        <v>4.47</v>
      </c>
      <c r="Q1364" s="179">
        <f t="shared" si="41"/>
        <v>5.3658333333333337</v>
      </c>
      <c r="R1364" s="179" t="s">
        <v>958</v>
      </c>
    </row>
    <row r="1365" spans="1:18" x14ac:dyDescent="0.15">
      <c r="A1365" s="179" t="str">
        <f t="shared" si="40"/>
        <v>Nicolas Romero_Optimal Summer_180</v>
      </c>
      <c r="B1365" s="501" t="s">
        <v>1152</v>
      </c>
      <c r="C1365" s="429">
        <v>5</v>
      </c>
      <c r="D1365" s="429">
        <v>180</v>
      </c>
      <c r="E1365" s="431">
        <v>5</v>
      </c>
      <c r="F1365" s="431">
        <v>5.9</v>
      </c>
      <c r="G1365" s="431">
        <v>6.61</v>
      </c>
      <c r="H1365" s="431">
        <v>6.41</v>
      </c>
      <c r="I1365" s="431">
        <v>6.16</v>
      </c>
      <c r="J1365" s="431">
        <v>5.61</v>
      </c>
      <c r="K1365" s="431">
        <v>5.51</v>
      </c>
      <c r="L1365" s="431">
        <v>5.31</v>
      </c>
      <c r="M1365" s="431">
        <v>4.93</v>
      </c>
      <c r="N1365" s="431">
        <v>5.01</v>
      </c>
      <c r="O1365" s="431">
        <v>5</v>
      </c>
      <c r="P1365" s="431">
        <v>4.58</v>
      </c>
      <c r="Q1365" s="179">
        <f t="shared" si="41"/>
        <v>5.5025000000000004</v>
      </c>
      <c r="R1365" s="179" t="s">
        <v>958</v>
      </c>
    </row>
    <row r="1366" spans="1:18" x14ac:dyDescent="0.15">
      <c r="A1366" s="179" t="str">
        <f t="shared" si="40"/>
        <v>Nicolas Romero_Optimal Summer_202.5</v>
      </c>
      <c r="B1366" s="501" t="s">
        <v>1152</v>
      </c>
      <c r="C1366" s="429">
        <v>5</v>
      </c>
      <c r="D1366" s="429">
        <v>202.5</v>
      </c>
      <c r="E1366" s="431">
        <v>4.88</v>
      </c>
      <c r="F1366" s="431">
        <v>5.75</v>
      </c>
      <c r="G1366" s="431">
        <v>6.44</v>
      </c>
      <c r="H1366" s="431">
        <v>6.25</v>
      </c>
      <c r="I1366" s="431">
        <v>6.01</v>
      </c>
      <c r="J1366" s="431">
        <v>5.47</v>
      </c>
      <c r="K1366" s="431">
        <v>5.37</v>
      </c>
      <c r="L1366" s="431">
        <v>5.18</v>
      </c>
      <c r="M1366" s="431">
        <v>4.8099999999999996</v>
      </c>
      <c r="N1366" s="431">
        <v>4.88</v>
      </c>
      <c r="O1366" s="431">
        <v>4.88</v>
      </c>
      <c r="P1366" s="431">
        <v>4.47</v>
      </c>
      <c r="Q1366" s="179">
        <f t="shared" si="41"/>
        <v>5.3658333333333337</v>
      </c>
      <c r="R1366" s="179" t="s">
        <v>958</v>
      </c>
    </row>
    <row r="1367" spans="1:18" x14ac:dyDescent="0.15">
      <c r="A1367" s="179" t="str">
        <f t="shared" si="40"/>
        <v>Nicolas Romero_Optimal Summer_225</v>
      </c>
      <c r="B1367" s="501" t="s">
        <v>1152</v>
      </c>
      <c r="C1367" s="429">
        <v>5</v>
      </c>
      <c r="D1367" s="429">
        <v>225</v>
      </c>
      <c r="E1367" s="431">
        <v>4.75</v>
      </c>
      <c r="F1367" s="431">
        <v>5.6</v>
      </c>
      <c r="G1367" s="431">
        <v>6.28</v>
      </c>
      <c r="H1367" s="431">
        <v>6.09</v>
      </c>
      <c r="I1367" s="431">
        <v>5.85</v>
      </c>
      <c r="J1367" s="431">
        <v>5.33</v>
      </c>
      <c r="K1367" s="431">
        <v>5.23</v>
      </c>
      <c r="L1367" s="431">
        <v>5.04</v>
      </c>
      <c r="M1367" s="431">
        <v>4.68</v>
      </c>
      <c r="N1367" s="431">
        <v>4.76</v>
      </c>
      <c r="O1367" s="431">
        <v>4.75</v>
      </c>
      <c r="P1367" s="431">
        <v>4.3499999999999996</v>
      </c>
      <c r="Q1367" s="179">
        <f t="shared" si="41"/>
        <v>5.2258333333333331</v>
      </c>
      <c r="R1367" s="179" t="s">
        <v>958</v>
      </c>
    </row>
    <row r="1368" spans="1:18" x14ac:dyDescent="0.15">
      <c r="A1368" s="179" t="str">
        <f t="shared" si="40"/>
        <v>Nicolas Romero_Optimal Summer_247.5</v>
      </c>
      <c r="B1368" s="501" t="s">
        <v>1152</v>
      </c>
      <c r="C1368" s="429">
        <v>5</v>
      </c>
      <c r="D1368" s="429">
        <v>247.5</v>
      </c>
      <c r="E1368" s="431">
        <v>4.38</v>
      </c>
      <c r="F1368" s="431">
        <v>5.16</v>
      </c>
      <c r="G1368" s="431">
        <v>5.78</v>
      </c>
      <c r="H1368" s="431">
        <v>5.61</v>
      </c>
      <c r="I1368" s="431">
        <v>5.39</v>
      </c>
      <c r="J1368" s="431">
        <v>4.91</v>
      </c>
      <c r="K1368" s="431">
        <v>4.82</v>
      </c>
      <c r="L1368" s="431">
        <v>4.6500000000000004</v>
      </c>
      <c r="M1368" s="431">
        <v>4.3099999999999996</v>
      </c>
      <c r="N1368" s="431">
        <v>4.38</v>
      </c>
      <c r="O1368" s="431">
        <v>4.38</v>
      </c>
      <c r="P1368" s="431">
        <v>4.01</v>
      </c>
      <c r="Q1368" s="179">
        <f t="shared" si="41"/>
        <v>4.8150000000000004</v>
      </c>
      <c r="R1368" s="179" t="s">
        <v>958</v>
      </c>
    </row>
    <row r="1369" spans="1:18" x14ac:dyDescent="0.15">
      <c r="A1369" s="179" t="str">
        <f t="shared" si="40"/>
        <v>Nicolas Romero_Optimal Summer_270</v>
      </c>
      <c r="B1369" s="501" t="s">
        <v>1152</v>
      </c>
      <c r="C1369" s="429">
        <v>5</v>
      </c>
      <c r="D1369" s="429">
        <v>270</v>
      </c>
      <c r="E1369" s="431">
        <v>4</v>
      </c>
      <c r="F1369" s="431">
        <v>4.72</v>
      </c>
      <c r="G1369" s="431">
        <v>5.29</v>
      </c>
      <c r="H1369" s="431">
        <v>5.13</v>
      </c>
      <c r="I1369" s="431">
        <v>4.93</v>
      </c>
      <c r="J1369" s="431">
        <v>4.49</v>
      </c>
      <c r="K1369" s="431">
        <v>4.41</v>
      </c>
      <c r="L1369" s="431">
        <v>4.25</v>
      </c>
      <c r="M1369" s="431">
        <v>3.94</v>
      </c>
      <c r="N1369" s="431">
        <v>4.01</v>
      </c>
      <c r="O1369" s="431">
        <v>4</v>
      </c>
      <c r="P1369" s="431">
        <v>3.66</v>
      </c>
      <c r="Q1369" s="179">
        <f t="shared" si="41"/>
        <v>4.4024999999999999</v>
      </c>
      <c r="R1369" s="179" t="s">
        <v>958</v>
      </c>
    </row>
    <row r="1370" spans="1:18" x14ac:dyDescent="0.15">
      <c r="A1370" s="179" t="str">
        <f t="shared" si="40"/>
        <v>Nicolas Romero_Optimal Year Round_90</v>
      </c>
      <c r="B1370" s="501" t="s">
        <v>1152</v>
      </c>
      <c r="C1370" s="429">
        <v>20</v>
      </c>
      <c r="D1370" s="429">
        <v>90</v>
      </c>
      <c r="E1370" s="431">
        <v>4.62</v>
      </c>
      <c r="F1370" s="431">
        <v>5.22</v>
      </c>
      <c r="G1370" s="431">
        <v>5.5</v>
      </c>
      <c r="H1370" s="431">
        <v>5.04</v>
      </c>
      <c r="I1370" s="431">
        <v>4.63</v>
      </c>
      <c r="J1370" s="431">
        <v>4.46</v>
      </c>
      <c r="K1370" s="431">
        <v>4.3600000000000003</v>
      </c>
      <c r="L1370" s="431">
        <v>4.1100000000000003</v>
      </c>
      <c r="M1370" s="431">
        <v>3.98</v>
      </c>
      <c r="N1370" s="431">
        <v>4.2699999999999996</v>
      </c>
      <c r="O1370" s="431">
        <v>4.55</v>
      </c>
      <c r="P1370" s="431">
        <v>4.24</v>
      </c>
      <c r="Q1370" s="179">
        <f t="shared" si="41"/>
        <v>4.5816666666666661</v>
      </c>
      <c r="R1370" s="179" t="s">
        <v>993</v>
      </c>
    </row>
    <row r="1371" spans="1:18" x14ac:dyDescent="0.15">
      <c r="A1371" s="179" t="str">
        <f t="shared" si="40"/>
        <v>Nicolas Romero_Optimal Year Round_112.5</v>
      </c>
      <c r="B1371" s="501" t="s">
        <v>1152</v>
      </c>
      <c r="C1371" s="429">
        <v>20</v>
      </c>
      <c r="D1371" s="429">
        <v>112.5</v>
      </c>
      <c r="E1371" s="431">
        <v>5.0599999999999996</v>
      </c>
      <c r="F1371" s="431">
        <v>5.7</v>
      </c>
      <c r="G1371" s="431">
        <v>6.02</v>
      </c>
      <c r="H1371" s="431">
        <v>5.51</v>
      </c>
      <c r="I1371" s="431">
        <v>5.07</v>
      </c>
      <c r="J1371" s="431">
        <v>4.88</v>
      </c>
      <c r="K1371" s="431">
        <v>4.7699999999999996</v>
      </c>
      <c r="L1371" s="431">
        <v>4.5</v>
      </c>
      <c r="M1371" s="431">
        <v>4.3499999999999996</v>
      </c>
      <c r="N1371" s="431">
        <v>4.67</v>
      </c>
      <c r="O1371" s="431">
        <v>4.9800000000000004</v>
      </c>
      <c r="P1371" s="431">
        <v>4.6399999999999997</v>
      </c>
      <c r="Q1371" s="179">
        <f t="shared" si="41"/>
        <v>5.0125000000000002</v>
      </c>
      <c r="R1371" s="179" t="s">
        <v>993</v>
      </c>
    </row>
    <row r="1372" spans="1:18" x14ac:dyDescent="0.15">
      <c r="A1372" s="179" t="str">
        <f t="shared" si="40"/>
        <v>Nicolas Romero_Optimal Year Round_135</v>
      </c>
      <c r="B1372" s="501" t="s">
        <v>1152</v>
      </c>
      <c r="C1372" s="429">
        <v>20</v>
      </c>
      <c r="D1372" s="429">
        <v>135</v>
      </c>
      <c r="E1372" s="431">
        <v>5.49</v>
      </c>
      <c r="F1372" s="431">
        <v>6.19</v>
      </c>
      <c r="G1372" s="431">
        <v>6.54</v>
      </c>
      <c r="H1372" s="431">
        <v>5.98</v>
      </c>
      <c r="I1372" s="431">
        <v>5.5</v>
      </c>
      <c r="J1372" s="431">
        <v>5.3</v>
      </c>
      <c r="K1372" s="431">
        <v>5.18</v>
      </c>
      <c r="L1372" s="431">
        <v>4.88</v>
      </c>
      <c r="M1372" s="431">
        <v>4.72</v>
      </c>
      <c r="N1372" s="431">
        <v>5.07</v>
      </c>
      <c r="O1372" s="431">
        <v>5.41</v>
      </c>
      <c r="P1372" s="431">
        <v>5.04</v>
      </c>
      <c r="Q1372" s="179">
        <f t="shared" si="41"/>
        <v>5.4416666666666673</v>
      </c>
      <c r="R1372" s="179" t="s">
        <v>993</v>
      </c>
    </row>
    <row r="1373" spans="1:18" x14ac:dyDescent="0.15">
      <c r="A1373" s="179" t="str">
        <f t="shared" si="40"/>
        <v>Nicolas Romero_Optimal Year Round_157.5</v>
      </c>
      <c r="B1373" s="501" t="s">
        <v>1152</v>
      </c>
      <c r="C1373" s="429">
        <v>20</v>
      </c>
      <c r="D1373" s="429">
        <v>157.5</v>
      </c>
      <c r="E1373" s="431">
        <v>5.64</v>
      </c>
      <c r="F1373" s="431">
        <v>6.36</v>
      </c>
      <c r="G1373" s="431">
        <v>6.71</v>
      </c>
      <c r="H1373" s="431">
        <v>6.14</v>
      </c>
      <c r="I1373" s="431">
        <v>5.65</v>
      </c>
      <c r="J1373" s="431">
        <v>5.44</v>
      </c>
      <c r="K1373" s="431">
        <v>5.31</v>
      </c>
      <c r="L1373" s="431">
        <v>5.01</v>
      </c>
      <c r="M1373" s="431">
        <v>4.8499999999999996</v>
      </c>
      <c r="N1373" s="431">
        <v>5.21</v>
      </c>
      <c r="O1373" s="431">
        <v>5.55</v>
      </c>
      <c r="P1373" s="431">
        <v>5.17</v>
      </c>
      <c r="Q1373" s="179">
        <f t="shared" si="41"/>
        <v>5.586666666666666</v>
      </c>
      <c r="R1373" s="179" t="s">
        <v>993</v>
      </c>
    </row>
    <row r="1374" spans="1:18" x14ac:dyDescent="0.15">
      <c r="A1374" s="179" t="str">
        <f t="shared" si="40"/>
        <v>Nicolas Romero_Optimal Year Round_180</v>
      </c>
      <c r="B1374" s="501" t="s">
        <v>1152</v>
      </c>
      <c r="C1374" s="429">
        <v>20</v>
      </c>
      <c r="D1374" s="429">
        <v>180</v>
      </c>
      <c r="E1374" s="431">
        <v>5.78</v>
      </c>
      <c r="F1374" s="431">
        <v>6.52</v>
      </c>
      <c r="G1374" s="431">
        <v>6.88</v>
      </c>
      <c r="H1374" s="431">
        <v>6.3</v>
      </c>
      <c r="I1374" s="431">
        <v>5.79</v>
      </c>
      <c r="J1374" s="431">
        <v>5.58</v>
      </c>
      <c r="K1374" s="431">
        <v>5.45</v>
      </c>
      <c r="L1374" s="431">
        <v>5.14</v>
      </c>
      <c r="M1374" s="431">
        <v>4.97</v>
      </c>
      <c r="N1374" s="431">
        <v>5.34</v>
      </c>
      <c r="O1374" s="431">
        <v>5.69</v>
      </c>
      <c r="P1374" s="431">
        <v>5.3</v>
      </c>
      <c r="Q1374" s="179">
        <f t="shared" si="41"/>
        <v>5.7283333333333326</v>
      </c>
      <c r="R1374" s="179" t="s">
        <v>993</v>
      </c>
    </row>
    <row r="1375" spans="1:18" x14ac:dyDescent="0.15">
      <c r="A1375" s="179" t="str">
        <f t="shared" si="40"/>
        <v>Nicolas Romero_Optimal Year Round_202.5</v>
      </c>
      <c r="B1375" s="501" t="s">
        <v>1152</v>
      </c>
      <c r="C1375" s="429">
        <v>20</v>
      </c>
      <c r="D1375" s="429">
        <v>202.5</v>
      </c>
      <c r="E1375" s="431">
        <v>5.64</v>
      </c>
      <c r="F1375" s="431">
        <v>6.36</v>
      </c>
      <c r="G1375" s="431">
        <v>6.71</v>
      </c>
      <c r="H1375" s="431">
        <v>6.14</v>
      </c>
      <c r="I1375" s="431">
        <v>5.65</v>
      </c>
      <c r="J1375" s="431">
        <v>5.44</v>
      </c>
      <c r="K1375" s="431">
        <v>5.31</v>
      </c>
      <c r="L1375" s="431">
        <v>5.01</v>
      </c>
      <c r="M1375" s="431">
        <v>4.8499999999999996</v>
      </c>
      <c r="N1375" s="431">
        <v>5.21</v>
      </c>
      <c r="O1375" s="431">
        <v>5.55</v>
      </c>
      <c r="P1375" s="431">
        <v>5.17</v>
      </c>
      <c r="Q1375" s="179">
        <f t="shared" si="41"/>
        <v>5.586666666666666</v>
      </c>
      <c r="R1375" s="179" t="s">
        <v>993</v>
      </c>
    </row>
    <row r="1376" spans="1:18" x14ac:dyDescent="0.15">
      <c r="A1376" s="179" t="str">
        <f t="shared" si="40"/>
        <v>Nicolas Romero_Optimal Year Round_225</v>
      </c>
      <c r="B1376" s="501" t="s">
        <v>1152</v>
      </c>
      <c r="C1376" s="429">
        <v>20</v>
      </c>
      <c r="D1376" s="429">
        <v>225</v>
      </c>
      <c r="E1376" s="431">
        <v>5.49</v>
      </c>
      <c r="F1376" s="431">
        <v>6.19</v>
      </c>
      <c r="G1376" s="431">
        <v>6.54</v>
      </c>
      <c r="H1376" s="431">
        <v>5.98</v>
      </c>
      <c r="I1376" s="431">
        <v>5.5</v>
      </c>
      <c r="J1376" s="431">
        <v>5.3</v>
      </c>
      <c r="K1376" s="431">
        <v>5.18</v>
      </c>
      <c r="L1376" s="431">
        <v>4.88</v>
      </c>
      <c r="M1376" s="431">
        <v>4.72</v>
      </c>
      <c r="N1376" s="431">
        <v>5.07</v>
      </c>
      <c r="O1376" s="431">
        <v>5.41</v>
      </c>
      <c r="P1376" s="431">
        <v>5.04</v>
      </c>
      <c r="Q1376" s="179">
        <f t="shared" si="41"/>
        <v>5.4416666666666673</v>
      </c>
      <c r="R1376" s="179" t="s">
        <v>993</v>
      </c>
    </row>
    <row r="1377" spans="1:18" x14ac:dyDescent="0.15">
      <c r="A1377" s="179" t="str">
        <f t="shared" si="40"/>
        <v>Nicolas Romero_Optimal Year Round_247.5</v>
      </c>
      <c r="B1377" s="501" t="s">
        <v>1152</v>
      </c>
      <c r="C1377" s="429">
        <v>20</v>
      </c>
      <c r="D1377" s="429">
        <v>247.5</v>
      </c>
      <c r="E1377" s="431">
        <v>5.0599999999999996</v>
      </c>
      <c r="F1377" s="431">
        <v>5.7</v>
      </c>
      <c r="G1377" s="431">
        <v>6.02</v>
      </c>
      <c r="H1377" s="431">
        <v>5.51</v>
      </c>
      <c r="I1377" s="431">
        <v>5.07</v>
      </c>
      <c r="J1377" s="431">
        <v>4.88</v>
      </c>
      <c r="K1377" s="431">
        <v>4.7699999999999996</v>
      </c>
      <c r="L1377" s="431">
        <v>4.5</v>
      </c>
      <c r="M1377" s="431">
        <v>4.3499999999999996</v>
      </c>
      <c r="N1377" s="431">
        <v>4.67</v>
      </c>
      <c r="O1377" s="431">
        <v>4.9800000000000004</v>
      </c>
      <c r="P1377" s="431">
        <v>4.6399999999999997</v>
      </c>
      <c r="Q1377" s="179">
        <f t="shared" si="41"/>
        <v>5.0125000000000002</v>
      </c>
      <c r="R1377" s="179" t="s">
        <v>993</v>
      </c>
    </row>
    <row r="1378" spans="1:18" x14ac:dyDescent="0.15">
      <c r="A1378" s="179" t="str">
        <f t="shared" si="40"/>
        <v>Nicolas Romero_Optimal Year Round_270</v>
      </c>
      <c r="B1378" s="501" t="s">
        <v>1152</v>
      </c>
      <c r="C1378" s="429">
        <v>20</v>
      </c>
      <c r="D1378" s="429">
        <v>270</v>
      </c>
      <c r="E1378" s="431">
        <v>4.62</v>
      </c>
      <c r="F1378" s="431">
        <v>5.22</v>
      </c>
      <c r="G1378" s="431">
        <v>5.5</v>
      </c>
      <c r="H1378" s="431">
        <v>5.04</v>
      </c>
      <c r="I1378" s="431">
        <v>4.63</v>
      </c>
      <c r="J1378" s="431">
        <v>4.46</v>
      </c>
      <c r="K1378" s="431">
        <v>4.3600000000000003</v>
      </c>
      <c r="L1378" s="431">
        <v>4.1100000000000003</v>
      </c>
      <c r="M1378" s="431">
        <v>3.98</v>
      </c>
      <c r="N1378" s="431">
        <v>4.2699999999999996</v>
      </c>
      <c r="O1378" s="431">
        <v>4.55</v>
      </c>
      <c r="P1378" s="431">
        <v>4.24</v>
      </c>
      <c r="Q1378" s="179">
        <f t="shared" si="41"/>
        <v>4.5816666666666661</v>
      </c>
      <c r="R1378" s="179" t="s">
        <v>993</v>
      </c>
    </row>
    <row r="1379" spans="1:18" x14ac:dyDescent="0.15">
      <c r="A1379" s="179" t="str">
        <f t="shared" si="40"/>
        <v>Nuevo Laredo_Flat Surface_90</v>
      </c>
      <c r="B1379" s="501" t="s">
        <v>1004</v>
      </c>
      <c r="C1379" s="429">
        <v>0</v>
      </c>
      <c r="D1379" s="429">
        <v>90</v>
      </c>
      <c r="E1379" s="431">
        <v>3.07</v>
      </c>
      <c r="F1379" s="431">
        <v>3.83</v>
      </c>
      <c r="G1379" s="431">
        <v>4.91</v>
      </c>
      <c r="H1379" s="431">
        <v>5.49</v>
      </c>
      <c r="I1379" s="431">
        <v>6.04</v>
      </c>
      <c r="J1379" s="431">
        <v>6.59</v>
      </c>
      <c r="K1379" s="431">
        <v>6.72</v>
      </c>
      <c r="L1379" s="431">
        <v>6.14</v>
      </c>
      <c r="M1379" s="431">
        <v>5.16</v>
      </c>
      <c r="N1379" s="431">
        <v>4.37</v>
      </c>
      <c r="O1379" s="431">
        <v>3.41</v>
      </c>
      <c r="P1379" s="431">
        <v>2.93</v>
      </c>
      <c r="Q1379" s="179">
        <f t="shared" si="41"/>
        <v>4.8883333333333336</v>
      </c>
      <c r="R1379" s="179" t="s">
        <v>994</v>
      </c>
    </row>
    <row r="1380" spans="1:18" x14ac:dyDescent="0.15">
      <c r="A1380" s="179" t="str">
        <f t="shared" si="40"/>
        <v>Nuevo Laredo_Flat Surface_112.5</v>
      </c>
      <c r="B1380" s="501" t="s">
        <v>1004</v>
      </c>
      <c r="C1380" s="429">
        <v>0</v>
      </c>
      <c r="D1380" s="429">
        <v>112.5</v>
      </c>
      <c r="E1380" s="431">
        <v>3.07</v>
      </c>
      <c r="F1380" s="431">
        <v>3.83</v>
      </c>
      <c r="G1380" s="431">
        <v>4.91</v>
      </c>
      <c r="H1380" s="431">
        <v>5.49</v>
      </c>
      <c r="I1380" s="431">
        <v>6.04</v>
      </c>
      <c r="J1380" s="431">
        <v>6.59</v>
      </c>
      <c r="K1380" s="431">
        <v>6.72</v>
      </c>
      <c r="L1380" s="431">
        <v>6.14</v>
      </c>
      <c r="M1380" s="431">
        <v>5.16</v>
      </c>
      <c r="N1380" s="431">
        <v>4.37</v>
      </c>
      <c r="O1380" s="431">
        <v>3.41</v>
      </c>
      <c r="P1380" s="431">
        <v>2.93</v>
      </c>
      <c r="Q1380" s="179">
        <f t="shared" si="41"/>
        <v>4.8883333333333336</v>
      </c>
      <c r="R1380" s="179" t="s">
        <v>994</v>
      </c>
    </row>
    <row r="1381" spans="1:18" x14ac:dyDescent="0.15">
      <c r="A1381" s="179" t="str">
        <f t="shared" si="40"/>
        <v>Nuevo Laredo_Flat Surface_135</v>
      </c>
      <c r="B1381" s="501" t="s">
        <v>1004</v>
      </c>
      <c r="C1381" s="429">
        <v>0</v>
      </c>
      <c r="D1381" s="429">
        <v>135</v>
      </c>
      <c r="E1381" s="431">
        <v>3.07</v>
      </c>
      <c r="F1381" s="431">
        <v>3.83</v>
      </c>
      <c r="G1381" s="431">
        <v>4.91</v>
      </c>
      <c r="H1381" s="431">
        <v>5.49</v>
      </c>
      <c r="I1381" s="431">
        <v>6.04</v>
      </c>
      <c r="J1381" s="431">
        <v>6.59</v>
      </c>
      <c r="K1381" s="431">
        <v>6.72</v>
      </c>
      <c r="L1381" s="431">
        <v>6.14</v>
      </c>
      <c r="M1381" s="431">
        <v>5.16</v>
      </c>
      <c r="N1381" s="431">
        <v>4.37</v>
      </c>
      <c r="O1381" s="431">
        <v>3.41</v>
      </c>
      <c r="P1381" s="431">
        <v>2.93</v>
      </c>
      <c r="Q1381" s="179">
        <f t="shared" si="41"/>
        <v>4.8883333333333336</v>
      </c>
      <c r="R1381" s="179" t="s">
        <v>994</v>
      </c>
    </row>
    <row r="1382" spans="1:18" x14ac:dyDescent="0.15">
      <c r="A1382" s="179" t="str">
        <f t="shared" si="40"/>
        <v>Nuevo Laredo_Flat Surface_157.5</v>
      </c>
      <c r="B1382" s="501" t="s">
        <v>1004</v>
      </c>
      <c r="C1382" s="429">
        <v>0</v>
      </c>
      <c r="D1382" s="429">
        <v>157.5</v>
      </c>
      <c r="E1382" s="431">
        <v>3.07</v>
      </c>
      <c r="F1382" s="431">
        <v>3.83</v>
      </c>
      <c r="G1382" s="431">
        <v>4.91</v>
      </c>
      <c r="H1382" s="431">
        <v>5.49</v>
      </c>
      <c r="I1382" s="431">
        <v>6.04</v>
      </c>
      <c r="J1382" s="431">
        <v>6.59</v>
      </c>
      <c r="K1382" s="431">
        <v>6.72</v>
      </c>
      <c r="L1382" s="431">
        <v>6.14</v>
      </c>
      <c r="M1382" s="431">
        <v>5.16</v>
      </c>
      <c r="N1382" s="431">
        <v>4.37</v>
      </c>
      <c r="O1382" s="431">
        <v>3.41</v>
      </c>
      <c r="P1382" s="431">
        <v>2.93</v>
      </c>
      <c r="Q1382" s="179">
        <f t="shared" si="41"/>
        <v>4.8883333333333336</v>
      </c>
      <c r="R1382" s="179" t="s">
        <v>994</v>
      </c>
    </row>
    <row r="1383" spans="1:18" x14ac:dyDescent="0.15">
      <c r="A1383" s="179" t="str">
        <f t="shared" si="40"/>
        <v>Nuevo Laredo_Flat Surface_180</v>
      </c>
      <c r="B1383" s="501" t="s">
        <v>1004</v>
      </c>
      <c r="C1383" s="429">
        <v>0</v>
      </c>
      <c r="D1383" s="429">
        <v>180</v>
      </c>
      <c r="E1383" s="431">
        <v>3.07</v>
      </c>
      <c r="F1383" s="431">
        <v>3.83</v>
      </c>
      <c r="G1383" s="431">
        <v>4.91</v>
      </c>
      <c r="H1383" s="431">
        <v>5.49</v>
      </c>
      <c r="I1383" s="431">
        <v>6.04</v>
      </c>
      <c r="J1383" s="431">
        <v>6.59</v>
      </c>
      <c r="K1383" s="431">
        <v>6.72</v>
      </c>
      <c r="L1383" s="431">
        <v>6.14</v>
      </c>
      <c r="M1383" s="431">
        <v>5.16</v>
      </c>
      <c r="N1383" s="431">
        <v>4.37</v>
      </c>
      <c r="O1383" s="431">
        <v>3.41</v>
      </c>
      <c r="P1383" s="431">
        <v>2.93</v>
      </c>
      <c r="Q1383" s="179">
        <f t="shared" si="41"/>
        <v>4.8883333333333336</v>
      </c>
      <c r="R1383" s="179" t="s">
        <v>994</v>
      </c>
    </row>
    <row r="1384" spans="1:18" x14ac:dyDescent="0.15">
      <c r="A1384" s="179" t="str">
        <f t="shared" si="40"/>
        <v>Nuevo Laredo_Flat Surface_202.5</v>
      </c>
      <c r="B1384" s="501" t="s">
        <v>1004</v>
      </c>
      <c r="C1384" s="429">
        <v>0</v>
      </c>
      <c r="D1384" s="429">
        <v>202.5</v>
      </c>
      <c r="E1384" s="431">
        <v>3.07</v>
      </c>
      <c r="F1384" s="431">
        <v>3.83</v>
      </c>
      <c r="G1384" s="431">
        <v>4.91</v>
      </c>
      <c r="H1384" s="431">
        <v>5.49</v>
      </c>
      <c r="I1384" s="431">
        <v>6.04</v>
      </c>
      <c r="J1384" s="431">
        <v>6.59</v>
      </c>
      <c r="K1384" s="431">
        <v>6.72</v>
      </c>
      <c r="L1384" s="431">
        <v>6.14</v>
      </c>
      <c r="M1384" s="431">
        <v>5.16</v>
      </c>
      <c r="N1384" s="431">
        <v>4.37</v>
      </c>
      <c r="O1384" s="431">
        <v>3.41</v>
      </c>
      <c r="P1384" s="431">
        <v>2.93</v>
      </c>
      <c r="Q1384" s="179">
        <f t="shared" si="41"/>
        <v>4.8883333333333336</v>
      </c>
      <c r="R1384" s="179" t="s">
        <v>994</v>
      </c>
    </row>
    <row r="1385" spans="1:18" x14ac:dyDescent="0.15">
      <c r="A1385" s="179" t="str">
        <f t="shared" si="40"/>
        <v>Nuevo Laredo_Flat Surface_225</v>
      </c>
      <c r="B1385" s="501" t="s">
        <v>1004</v>
      </c>
      <c r="C1385" s="429">
        <v>0</v>
      </c>
      <c r="D1385" s="429">
        <v>225</v>
      </c>
      <c r="E1385" s="431">
        <v>3.07</v>
      </c>
      <c r="F1385" s="431">
        <v>3.83</v>
      </c>
      <c r="G1385" s="431">
        <v>4.91</v>
      </c>
      <c r="H1385" s="431">
        <v>5.49</v>
      </c>
      <c r="I1385" s="431">
        <v>6.04</v>
      </c>
      <c r="J1385" s="431">
        <v>6.59</v>
      </c>
      <c r="K1385" s="431">
        <v>6.72</v>
      </c>
      <c r="L1385" s="431">
        <v>6.14</v>
      </c>
      <c r="M1385" s="431">
        <v>5.16</v>
      </c>
      <c r="N1385" s="431">
        <v>4.37</v>
      </c>
      <c r="O1385" s="431">
        <v>3.41</v>
      </c>
      <c r="P1385" s="431">
        <v>2.93</v>
      </c>
      <c r="Q1385" s="179">
        <f t="shared" si="41"/>
        <v>4.8883333333333336</v>
      </c>
      <c r="R1385" s="179" t="s">
        <v>994</v>
      </c>
    </row>
    <row r="1386" spans="1:18" x14ac:dyDescent="0.15">
      <c r="A1386" s="179" t="str">
        <f t="shared" si="40"/>
        <v>Nuevo Laredo_Flat Surface_247.5</v>
      </c>
      <c r="B1386" s="501" t="s">
        <v>1004</v>
      </c>
      <c r="C1386" s="429">
        <v>0</v>
      </c>
      <c r="D1386" s="429">
        <v>247.5</v>
      </c>
      <c r="E1386" s="431">
        <v>3.07</v>
      </c>
      <c r="F1386" s="431">
        <v>3.83</v>
      </c>
      <c r="G1386" s="431">
        <v>4.91</v>
      </c>
      <c r="H1386" s="431">
        <v>5.49</v>
      </c>
      <c r="I1386" s="431">
        <v>6.04</v>
      </c>
      <c r="J1386" s="431">
        <v>6.59</v>
      </c>
      <c r="K1386" s="431">
        <v>6.72</v>
      </c>
      <c r="L1386" s="431">
        <v>6.14</v>
      </c>
      <c r="M1386" s="431">
        <v>5.16</v>
      </c>
      <c r="N1386" s="431">
        <v>4.37</v>
      </c>
      <c r="O1386" s="431">
        <v>3.41</v>
      </c>
      <c r="P1386" s="431">
        <v>2.93</v>
      </c>
      <c r="Q1386" s="179">
        <f t="shared" si="41"/>
        <v>4.8883333333333336</v>
      </c>
      <c r="R1386" s="179" t="s">
        <v>994</v>
      </c>
    </row>
    <row r="1387" spans="1:18" x14ac:dyDescent="0.15">
      <c r="A1387" s="179" t="str">
        <f t="shared" si="40"/>
        <v>Nuevo Laredo_Flat Surface_270</v>
      </c>
      <c r="B1387" s="501" t="s">
        <v>1004</v>
      </c>
      <c r="C1387" s="429">
        <v>0</v>
      </c>
      <c r="D1387" s="429">
        <v>270</v>
      </c>
      <c r="E1387" s="431">
        <v>3.07</v>
      </c>
      <c r="F1387" s="431">
        <v>3.83</v>
      </c>
      <c r="G1387" s="431">
        <v>4.91</v>
      </c>
      <c r="H1387" s="431">
        <v>5.49</v>
      </c>
      <c r="I1387" s="431">
        <v>6.04</v>
      </c>
      <c r="J1387" s="431">
        <v>6.59</v>
      </c>
      <c r="K1387" s="431">
        <v>6.72</v>
      </c>
      <c r="L1387" s="431">
        <v>6.14</v>
      </c>
      <c r="M1387" s="431">
        <v>5.16</v>
      </c>
      <c r="N1387" s="431">
        <v>4.37</v>
      </c>
      <c r="O1387" s="431">
        <v>3.41</v>
      </c>
      <c r="P1387" s="431">
        <v>2.93</v>
      </c>
      <c r="Q1387" s="179">
        <f t="shared" si="41"/>
        <v>4.8883333333333336</v>
      </c>
      <c r="R1387" s="179" t="s">
        <v>994</v>
      </c>
    </row>
    <row r="1388" spans="1:18" x14ac:dyDescent="0.15">
      <c r="A1388" s="179" t="str">
        <f t="shared" si="40"/>
        <v>Nuevo Laredo_Optimal Summer_90</v>
      </c>
      <c r="B1388" s="501" t="s">
        <v>1004</v>
      </c>
      <c r="C1388" s="429">
        <v>13</v>
      </c>
      <c r="D1388" s="429">
        <v>90</v>
      </c>
      <c r="E1388" s="431">
        <v>2.83</v>
      </c>
      <c r="F1388" s="431">
        <v>3.4</v>
      </c>
      <c r="G1388" s="431">
        <v>4.18</v>
      </c>
      <c r="H1388" s="431">
        <v>4.4800000000000004</v>
      </c>
      <c r="I1388" s="431">
        <v>4.76</v>
      </c>
      <c r="J1388" s="431">
        <v>5.1100000000000003</v>
      </c>
      <c r="K1388" s="431">
        <v>5.25</v>
      </c>
      <c r="L1388" s="431">
        <v>4.92</v>
      </c>
      <c r="M1388" s="431">
        <v>4.32</v>
      </c>
      <c r="N1388" s="431">
        <v>3.85</v>
      </c>
      <c r="O1388" s="431">
        <v>3.13</v>
      </c>
      <c r="P1388" s="431">
        <v>2.74</v>
      </c>
      <c r="Q1388" s="179">
        <f t="shared" si="41"/>
        <v>4.0808333333333335</v>
      </c>
      <c r="R1388" s="179" t="s">
        <v>958</v>
      </c>
    </row>
    <row r="1389" spans="1:18" x14ac:dyDescent="0.15">
      <c r="A1389" s="179" t="str">
        <f t="shared" si="40"/>
        <v>Nuevo Laredo_Optimal Summer_112.5</v>
      </c>
      <c r="B1389" s="501" t="s">
        <v>1004</v>
      </c>
      <c r="C1389" s="429">
        <v>13</v>
      </c>
      <c r="D1389" s="429">
        <v>112.5</v>
      </c>
      <c r="E1389" s="431">
        <v>3.1</v>
      </c>
      <c r="F1389" s="431">
        <v>3.72</v>
      </c>
      <c r="G1389" s="431">
        <v>4.58</v>
      </c>
      <c r="H1389" s="431">
        <v>4.9000000000000004</v>
      </c>
      <c r="I1389" s="431">
        <v>5.21</v>
      </c>
      <c r="J1389" s="431">
        <v>5.59</v>
      </c>
      <c r="K1389" s="431">
        <v>5.74</v>
      </c>
      <c r="L1389" s="431">
        <v>5.38</v>
      </c>
      <c r="M1389" s="431">
        <v>4.72</v>
      </c>
      <c r="N1389" s="431">
        <v>4.21</v>
      </c>
      <c r="O1389" s="431">
        <v>3.42</v>
      </c>
      <c r="P1389" s="431">
        <v>3</v>
      </c>
      <c r="Q1389" s="179">
        <f t="shared" si="41"/>
        <v>4.4641666666666673</v>
      </c>
      <c r="R1389" s="179" t="s">
        <v>958</v>
      </c>
    </row>
    <row r="1390" spans="1:18" x14ac:dyDescent="0.15">
      <c r="A1390" s="179" t="str">
        <f t="shared" si="40"/>
        <v>Nuevo Laredo_Optimal Summer_135</v>
      </c>
      <c r="B1390" s="501" t="s">
        <v>1004</v>
      </c>
      <c r="C1390" s="429">
        <v>13</v>
      </c>
      <c r="D1390" s="429">
        <v>135</v>
      </c>
      <c r="E1390" s="431">
        <v>3.36</v>
      </c>
      <c r="F1390" s="431">
        <v>4.04</v>
      </c>
      <c r="G1390" s="431">
        <v>4.97</v>
      </c>
      <c r="H1390" s="431">
        <v>5.32</v>
      </c>
      <c r="I1390" s="431">
        <v>5.65</v>
      </c>
      <c r="J1390" s="431">
        <v>6.07</v>
      </c>
      <c r="K1390" s="431">
        <v>6.23</v>
      </c>
      <c r="L1390" s="431">
        <v>5.84</v>
      </c>
      <c r="M1390" s="431">
        <v>5.13</v>
      </c>
      <c r="N1390" s="431">
        <v>4.57</v>
      </c>
      <c r="O1390" s="431">
        <v>3.71</v>
      </c>
      <c r="P1390" s="431">
        <v>3.26</v>
      </c>
      <c r="Q1390" s="179">
        <f t="shared" si="41"/>
        <v>4.8458333333333341</v>
      </c>
      <c r="R1390" s="179" t="s">
        <v>958</v>
      </c>
    </row>
    <row r="1391" spans="1:18" x14ac:dyDescent="0.15">
      <c r="A1391" s="179" t="str">
        <f t="shared" si="40"/>
        <v>Nuevo Laredo_Optimal Summer_157.5</v>
      </c>
      <c r="B1391" s="501" t="s">
        <v>1004</v>
      </c>
      <c r="C1391" s="429">
        <v>13</v>
      </c>
      <c r="D1391" s="429">
        <v>157.5</v>
      </c>
      <c r="E1391" s="431">
        <v>3.45</v>
      </c>
      <c r="F1391" s="431">
        <v>4.1399999999999997</v>
      </c>
      <c r="G1391" s="431">
        <v>5.0999999999999996</v>
      </c>
      <c r="H1391" s="431">
        <v>5.46</v>
      </c>
      <c r="I1391" s="431">
        <v>5.8</v>
      </c>
      <c r="J1391" s="431">
        <v>6.23</v>
      </c>
      <c r="K1391" s="431">
        <v>6.4</v>
      </c>
      <c r="L1391" s="431">
        <v>6</v>
      </c>
      <c r="M1391" s="431">
        <v>5.26</v>
      </c>
      <c r="N1391" s="431">
        <v>4.6900000000000004</v>
      </c>
      <c r="O1391" s="431">
        <v>3.81</v>
      </c>
      <c r="P1391" s="431">
        <v>3.34</v>
      </c>
      <c r="Q1391" s="179">
        <f t="shared" si="41"/>
        <v>4.9733333333333327</v>
      </c>
      <c r="R1391" s="179" t="s">
        <v>958</v>
      </c>
    </row>
    <row r="1392" spans="1:18" x14ac:dyDescent="0.15">
      <c r="A1392" s="179" t="str">
        <f t="shared" si="40"/>
        <v>Nuevo Laredo_Optimal Summer_180</v>
      </c>
      <c r="B1392" s="501" t="s">
        <v>1004</v>
      </c>
      <c r="C1392" s="429">
        <v>13</v>
      </c>
      <c r="D1392" s="429">
        <v>180</v>
      </c>
      <c r="E1392" s="431">
        <v>3.54</v>
      </c>
      <c r="F1392" s="431">
        <v>4.25</v>
      </c>
      <c r="G1392" s="431">
        <v>5.23</v>
      </c>
      <c r="H1392" s="431">
        <v>5.6</v>
      </c>
      <c r="I1392" s="431">
        <v>5.95</v>
      </c>
      <c r="J1392" s="431">
        <v>6.39</v>
      </c>
      <c r="K1392" s="431">
        <v>6.56</v>
      </c>
      <c r="L1392" s="431">
        <v>6.15</v>
      </c>
      <c r="M1392" s="431">
        <v>5.4</v>
      </c>
      <c r="N1392" s="431">
        <v>4.8099999999999996</v>
      </c>
      <c r="O1392" s="431">
        <v>3.91</v>
      </c>
      <c r="P1392" s="431">
        <v>3.43</v>
      </c>
      <c r="Q1392" s="179">
        <f t="shared" si="41"/>
        <v>5.1016666666666657</v>
      </c>
      <c r="R1392" s="179" t="s">
        <v>958</v>
      </c>
    </row>
    <row r="1393" spans="1:18" x14ac:dyDescent="0.15">
      <c r="A1393" s="179" t="str">
        <f t="shared" si="40"/>
        <v>Nuevo Laredo_Optimal Summer_202.5</v>
      </c>
      <c r="B1393" s="501" t="s">
        <v>1004</v>
      </c>
      <c r="C1393" s="429">
        <v>13</v>
      </c>
      <c r="D1393" s="429">
        <v>202.5</v>
      </c>
      <c r="E1393" s="431">
        <v>3.45</v>
      </c>
      <c r="F1393" s="431">
        <v>4.1399999999999997</v>
      </c>
      <c r="G1393" s="431">
        <v>5.0999999999999996</v>
      </c>
      <c r="H1393" s="431">
        <v>5.46</v>
      </c>
      <c r="I1393" s="431">
        <v>5.8</v>
      </c>
      <c r="J1393" s="431">
        <v>6.23</v>
      </c>
      <c r="K1393" s="431">
        <v>6.4</v>
      </c>
      <c r="L1393" s="431">
        <v>6</v>
      </c>
      <c r="M1393" s="431">
        <v>5.26</v>
      </c>
      <c r="N1393" s="431">
        <v>4.6900000000000004</v>
      </c>
      <c r="O1393" s="431">
        <v>3.81</v>
      </c>
      <c r="P1393" s="431">
        <v>3.34</v>
      </c>
      <c r="Q1393" s="179">
        <f t="shared" si="41"/>
        <v>4.9733333333333327</v>
      </c>
      <c r="R1393" s="179" t="s">
        <v>958</v>
      </c>
    </row>
    <row r="1394" spans="1:18" x14ac:dyDescent="0.15">
      <c r="A1394" s="179" t="str">
        <f t="shared" si="40"/>
        <v>Nuevo Laredo_Optimal Summer_225</v>
      </c>
      <c r="B1394" s="501" t="s">
        <v>1004</v>
      </c>
      <c r="C1394" s="429">
        <v>13</v>
      </c>
      <c r="D1394" s="429">
        <v>225</v>
      </c>
      <c r="E1394" s="431">
        <v>3.36</v>
      </c>
      <c r="F1394" s="431">
        <v>4.04</v>
      </c>
      <c r="G1394" s="431">
        <v>4.97</v>
      </c>
      <c r="H1394" s="431">
        <v>5.32</v>
      </c>
      <c r="I1394" s="431">
        <v>5.65</v>
      </c>
      <c r="J1394" s="431">
        <v>6.07</v>
      </c>
      <c r="K1394" s="431">
        <v>6.23</v>
      </c>
      <c r="L1394" s="431">
        <v>5.84</v>
      </c>
      <c r="M1394" s="431">
        <v>5.13</v>
      </c>
      <c r="N1394" s="431">
        <v>4.57</v>
      </c>
      <c r="O1394" s="431">
        <v>3.71</v>
      </c>
      <c r="P1394" s="431">
        <v>3.26</v>
      </c>
      <c r="Q1394" s="179">
        <f t="shared" si="41"/>
        <v>4.8458333333333341</v>
      </c>
      <c r="R1394" s="179" t="s">
        <v>958</v>
      </c>
    </row>
    <row r="1395" spans="1:18" x14ac:dyDescent="0.15">
      <c r="A1395" s="179" t="str">
        <f t="shared" si="40"/>
        <v>Nuevo Laredo_Optimal Summer_247.5</v>
      </c>
      <c r="B1395" s="501" t="s">
        <v>1004</v>
      </c>
      <c r="C1395" s="429">
        <v>13</v>
      </c>
      <c r="D1395" s="429">
        <v>247.5</v>
      </c>
      <c r="E1395" s="431">
        <v>3.1</v>
      </c>
      <c r="F1395" s="431">
        <v>3.72</v>
      </c>
      <c r="G1395" s="431">
        <v>4.58</v>
      </c>
      <c r="H1395" s="431">
        <v>4.9000000000000004</v>
      </c>
      <c r="I1395" s="431">
        <v>5.21</v>
      </c>
      <c r="J1395" s="431">
        <v>5.59</v>
      </c>
      <c r="K1395" s="431">
        <v>5.74</v>
      </c>
      <c r="L1395" s="431">
        <v>5.38</v>
      </c>
      <c r="M1395" s="431">
        <v>4.72</v>
      </c>
      <c r="N1395" s="431">
        <v>4.21</v>
      </c>
      <c r="O1395" s="431">
        <v>3.42</v>
      </c>
      <c r="P1395" s="431">
        <v>3</v>
      </c>
      <c r="Q1395" s="179">
        <f t="shared" si="41"/>
        <v>4.4641666666666673</v>
      </c>
      <c r="R1395" s="179" t="s">
        <v>958</v>
      </c>
    </row>
    <row r="1396" spans="1:18" x14ac:dyDescent="0.15">
      <c r="A1396" s="179" t="str">
        <f t="shared" si="40"/>
        <v>Nuevo Laredo_Optimal Summer_270</v>
      </c>
      <c r="B1396" s="501" t="s">
        <v>1004</v>
      </c>
      <c r="C1396" s="429">
        <v>13</v>
      </c>
      <c r="D1396" s="429">
        <v>270</v>
      </c>
      <c r="E1396" s="431">
        <v>2.83</v>
      </c>
      <c r="F1396" s="431">
        <v>3.4</v>
      </c>
      <c r="G1396" s="431">
        <v>4.18</v>
      </c>
      <c r="H1396" s="431">
        <v>4.4800000000000004</v>
      </c>
      <c r="I1396" s="431">
        <v>4.76</v>
      </c>
      <c r="J1396" s="431">
        <v>5.1100000000000003</v>
      </c>
      <c r="K1396" s="431">
        <v>5.25</v>
      </c>
      <c r="L1396" s="431">
        <v>4.92</v>
      </c>
      <c r="M1396" s="431">
        <v>4.32</v>
      </c>
      <c r="N1396" s="431">
        <v>3.85</v>
      </c>
      <c r="O1396" s="431">
        <v>3.13</v>
      </c>
      <c r="P1396" s="431">
        <v>2.74</v>
      </c>
      <c r="Q1396" s="179">
        <f t="shared" si="41"/>
        <v>4.0808333333333335</v>
      </c>
      <c r="R1396" s="179" t="s">
        <v>958</v>
      </c>
    </row>
    <row r="1397" spans="1:18" x14ac:dyDescent="0.15">
      <c r="A1397" s="179" t="str">
        <f t="shared" si="40"/>
        <v>Nuevo Laredo_Optimal Year Round_90</v>
      </c>
      <c r="B1397" s="501" t="s">
        <v>1004</v>
      </c>
      <c r="C1397" s="429">
        <v>28</v>
      </c>
      <c r="D1397" s="429">
        <v>90</v>
      </c>
      <c r="E1397" s="431">
        <v>3.17</v>
      </c>
      <c r="F1397" s="431">
        <v>3.67</v>
      </c>
      <c r="G1397" s="431">
        <v>4.3</v>
      </c>
      <c r="H1397" s="431">
        <v>4.38</v>
      </c>
      <c r="I1397" s="431">
        <v>4.46</v>
      </c>
      <c r="J1397" s="431">
        <v>4.7</v>
      </c>
      <c r="K1397" s="431">
        <v>4.8499999999999996</v>
      </c>
      <c r="L1397" s="431">
        <v>4.71</v>
      </c>
      <c r="M1397" s="431">
        <v>4.3600000000000003</v>
      </c>
      <c r="N1397" s="431">
        <v>4.0999999999999996</v>
      </c>
      <c r="O1397" s="431">
        <v>3.48</v>
      </c>
      <c r="P1397" s="431">
        <v>3.11</v>
      </c>
      <c r="Q1397" s="179">
        <f t="shared" si="41"/>
        <v>4.1074999999999999</v>
      </c>
      <c r="R1397" s="179" t="s">
        <v>993</v>
      </c>
    </row>
    <row r="1398" spans="1:18" x14ac:dyDescent="0.15">
      <c r="A1398" s="179" t="str">
        <f t="shared" si="40"/>
        <v>Nuevo Laredo_Optimal Year Round_112.5</v>
      </c>
      <c r="B1398" s="501" t="s">
        <v>1004</v>
      </c>
      <c r="C1398" s="429">
        <v>28</v>
      </c>
      <c r="D1398" s="429">
        <v>112.5</v>
      </c>
      <c r="E1398" s="431">
        <v>3.46</v>
      </c>
      <c r="F1398" s="431">
        <v>4.0199999999999996</v>
      </c>
      <c r="G1398" s="431">
        <v>4.71</v>
      </c>
      <c r="H1398" s="431">
        <v>4.8</v>
      </c>
      <c r="I1398" s="431">
        <v>4.88</v>
      </c>
      <c r="J1398" s="431">
        <v>5.14</v>
      </c>
      <c r="K1398" s="431">
        <v>5.3</v>
      </c>
      <c r="L1398" s="431">
        <v>5.15</v>
      </c>
      <c r="M1398" s="431">
        <v>4.7699999999999996</v>
      </c>
      <c r="N1398" s="431">
        <v>4.49</v>
      </c>
      <c r="O1398" s="431">
        <v>3.81</v>
      </c>
      <c r="P1398" s="431">
        <v>3.4</v>
      </c>
      <c r="Q1398" s="179">
        <f t="shared" si="41"/>
        <v>4.4941666666666658</v>
      </c>
      <c r="R1398" s="179" t="s">
        <v>993</v>
      </c>
    </row>
    <row r="1399" spans="1:18" x14ac:dyDescent="0.15">
      <c r="A1399" s="179" t="str">
        <f t="shared" si="40"/>
        <v>Nuevo Laredo_Optimal Year Round_135</v>
      </c>
      <c r="B1399" s="501" t="s">
        <v>1004</v>
      </c>
      <c r="C1399" s="429">
        <v>28</v>
      </c>
      <c r="D1399" s="429">
        <v>135</v>
      </c>
      <c r="E1399" s="431">
        <v>3.76</v>
      </c>
      <c r="F1399" s="431">
        <v>4.3600000000000003</v>
      </c>
      <c r="G1399" s="431">
        <v>5.1100000000000003</v>
      </c>
      <c r="H1399" s="431">
        <v>5.21</v>
      </c>
      <c r="I1399" s="431">
        <v>5.3</v>
      </c>
      <c r="J1399" s="431">
        <v>5.58</v>
      </c>
      <c r="K1399" s="431">
        <v>5.76</v>
      </c>
      <c r="L1399" s="431">
        <v>5.6</v>
      </c>
      <c r="M1399" s="431">
        <v>5.18</v>
      </c>
      <c r="N1399" s="431">
        <v>4.87</v>
      </c>
      <c r="O1399" s="431">
        <v>4.13</v>
      </c>
      <c r="P1399" s="431">
        <v>3.7</v>
      </c>
      <c r="Q1399" s="179">
        <f t="shared" si="41"/>
        <v>4.88</v>
      </c>
      <c r="R1399" s="179" t="s">
        <v>993</v>
      </c>
    </row>
    <row r="1400" spans="1:18" x14ac:dyDescent="0.15">
      <c r="A1400" s="179" t="str">
        <f t="shared" si="40"/>
        <v>Nuevo Laredo_Optimal Year Round_157.5</v>
      </c>
      <c r="B1400" s="501" t="s">
        <v>1004</v>
      </c>
      <c r="C1400" s="429">
        <v>28</v>
      </c>
      <c r="D1400" s="429">
        <v>157.5</v>
      </c>
      <c r="E1400" s="431">
        <v>3.86</v>
      </c>
      <c r="F1400" s="431">
        <v>4.4800000000000004</v>
      </c>
      <c r="G1400" s="431">
        <v>5.25</v>
      </c>
      <c r="H1400" s="431">
        <v>5.34</v>
      </c>
      <c r="I1400" s="431">
        <v>5.44</v>
      </c>
      <c r="J1400" s="431">
        <v>5.72</v>
      </c>
      <c r="K1400" s="431">
        <v>5.91</v>
      </c>
      <c r="L1400" s="431">
        <v>5.74</v>
      </c>
      <c r="M1400" s="431">
        <v>5.31</v>
      </c>
      <c r="N1400" s="431">
        <v>5</v>
      </c>
      <c r="O1400" s="431">
        <v>4.24</v>
      </c>
      <c r="P1400" s="431">
        <v>3.79</v>
      </c>
      <c r="Q1400" s="179">
        <f t="shared" si="41"/>
        <v>5.0066666666666668</v>
      </c>
      <c r="R1400" s="179" t="s">
        <v>993</v>
      </c>
    </row>
    <row r="1401" spans="1:18" x14ac:dyDescent="0.15">
      <c r="A1401" s="179" t="str">
        <f t="shared" si="40"/>
        <v>Nuevo Laredo_Optimal Year Round_180</v>
      </c>
      <c r="B1401" s="501" t="s">
        <v>1004</v>
      </c>
      <c r="C1401" s="429">
        <v>28</v>
      </c>
      <c r="D1401" s="429">
        <v>180</v>
      </c>
      <c r="E1401" s="431">
        <v>3.96</v>
      </c>
      <c r="F1401" s="431">
        <v>4.59</v>
      </c>
      <c r="G1401" s="431">
        <v>5.38</v>
      </c>
      <c r="H1401" s="431">
        <v>5.48</v>
      </c>
      <c r="I1401" s="431">
        <v>5.58</v>
      </c>
      <c r="J1401" s="431">
        <v>5.87</v>
      </c>
      <c r="K1401" s="431">
        <v>6.06</v>
      </c>
      <c r="L1401" s="431">
        <v>5.89</v>
      </c>
      <c r="M1401" s="431">
        <v>5.45</v>
      </c>
      <c r="N1401" s="431">
        <v>5.13</v>
      </c>
      <c r="O1401" s="431">
        <v>4.3499999999999996</v>
      </c>
      <c r="P1401" s="431">
        <v>3.89</v>
      </c>
      <c r="Q1401" s="179">
        <f t="shared" si="41"/>
        <v>5.1358333333333341</v>
      </c>
      <c r="R1401" s="179" t="s">
        <v>993</v>
      </c>
    </row>
    <row r="1402" spans="1:18" x14ac:dyDescent="0.15">
      <c r="A1402" s="179" t="str">
        <f t="shared" si="40"/>
        <v>Nuevo Laredo_Optimal Year Round_202.5</v>
      </c>
      <c r="B1402" s="501" t="s">
        <v>1004</v>
      </c>
      <c r="C1402" s="429">
        <v>28</v>
      </c>
      <c r="D1402" s="429">
        <v>202.5</v>
      </c>
      <c r="E1402" s="431">
        <v>3.86</v>
      </c>
      <c r="F1402" s="431">
        <v>4.4800000000000004</v>
      </c>
      <c r="G1402" s="431">
        <v>5.25</v>
      </c>
      <c r="H1402" s="431">
        <v>5.34</v>
      </c>
      <c r="I1402" s="431">
        <v>5.44</v>
      </c>
      <c r="J1402" s="431">
        <v>5.72</v>
      </c>
      <c r="K1402" s="431">
        <v>5.91</v>
      </c>
      <c r="L1402" s="431">
        <v>5.74</v>
      </c>
      <c r="M1402" s="431">
        <v>5.31</v>
      </c>
      <c r="N1402" s="431">
        <v>5</v>
      </c>
      <c r="O1402" s="431">
        <v>4.24</v>
      </c>
      <c r="P1402" s="431">
        <v>3.79</v>
      </c>
      <c r="Q1402" s="179">
        <f t="shared" si="41"/>
        <v>5.0066666666666668</v>
      </c>
      <c r="R1402" s="179" t="s">
        <v>993</v>
      </c>
    </row>
    <row r="1403" spans="1:18" x14ac:dyDescent="0.15">
      <c r="A1403" s="179" t="str">
        <f t="shared" si="40"/>
        <v>Nuevo Laredo_Optimal Year Round_225</v>
      </c>
      <c r="B1403" s="501" t="s">
        <v>1004</v>
      </c>
      <c r="C1403" s="429">
        <v>28</v>
      </c>
      <c r="D1403" s="429">
        <v>225</v>
      </c>
      <c r="E1403" s="431">
        <v>3.76</v>
      </c>
      <c r="F1403" s="431">
        <v>4.3600000000000003</v>
      </c>
      <c r="G1403" s="431">
        <v>5.1100000000000003</v>
      </c>
      <c r="H1403" s="431">
        <v>5.21</v>
      </c>
      <c r="I1403" s="431">
        <v>5.3</v>
      </c>
      <c r="J1403" s="431">
        <v>5.58</v>
      </c>
      <c r="K1403" s="431">
        <v>5.76</v>
      </c>
      <c r="L1403" s="431">
        <v>5.6</v>
      </c>
      <c r="M1403" s="431">
        <v>5.18</v>
      </c>
      <c r="N1403" s="431">
        <v>4.87</v>
      </c>
      <c r="O1403" s="431">
        <v>4.13</v>
      </c>
      <c r="P1403" s="431">
        <v>3.7</v>
      </c>
      <c r="Q1403" s="179">
        <f t="shared" si="41"/>
        <v>4.88</v>
      </c>
      <c r="R1403" s="179" t="s">
        <v>993</v>
      </c>
    </row>
    <row r="1404" spans="1:18" x14ac:dyDescent="0.15">
      <c r="A1404" s="179" t="str">
        <f t="shared" si="40"/>
        <v>Nuevo Laredo_Optimal Year Round_247.5</v>
      </c>
      <c r="B1404" s="501" t="s">
        <v>1004</v>
      </c>
      <c r="C1404" s="429">
        <v>28</v>
      </c>
      <c r="D1404" s="429">
        <v>247.5</v>
      </c>
      <c r="E1404" s="431">
        <v>3.46</v>
      </c>
      <c r="F1404" s="431">
        <v>4.0199999999999996</v>
      </c>
      <c r="G1404" s="431">
        <v>4.71</v>
      </c>
      <c r="H1404" s="431">
        <v>4.8</v>
      </c>
      <c r="I1404" s="431">
        <v>4.88</v>
      </c>
      <c r="J1404" s="431">
        <v>5.14</v>
      </c>
      <c r="K1404" s="431">
        <v>5.3</v>
      </c>
      <c r="L1404" s="431">
        <v>5.15</v>
      </c>
      <c r="M1404" s="431">
        <v>4.7699999999999996</v>
      </c>
      <c r="N1404" s="431">
        <v>4.49</v>
      </c>
      <c r="O1404" s="431">
        <v>3.81</v>
      </c>
      <c r="P1404" s="431">
        <v>3.4</v>
      </c>
      <c r="Q1404" s="179">
        <f t="shared" si="41"/>
        <v>4.4941666666666658</v>
      </c>
      <c r="R1404" s="179" t="s">
        <v>993</v>
      </c>
    </row>
    <row r="1405" spans="1:18" x14ac:dyDescent="0.15">
      <c r="A1405" s="179" t="str">
        <f t="shared" si="40"/>
        <v>Nuevo Laredo_Optimal Year Round_270</v>
      </c>
      <c r="B1405" s="501" t="s">
        <v>1004</v>
      </c>
      <c r="C1405" s="429">
        <v>28</v>
      </c>
      <c r="D1405" s="429">
        <v>270</v>
      </c>
      <c r="E1405" s="431">
        <v>3.17</v>
      </c>
      <c r="F1405" s="431">
        <v>3.67</v>
      </c>
      <c r="G1405" s="431">
        <v>4.3</v>
      </c>
      <c r="H1405" s="431">
        <v>4.38</v>
      </c>
      <c r="I1405" s="431">
        <v>4.46</v>
      </c>
      <c r="J1405" s="431">
        <v>4.7</v>
      </c>
      <c r="K1405" s="431">
        <v>4.8499999999999996</v>
      </c>
      <c r="L1405" s="431">
        <v>4.71</v>
      </c>
      <c r="M1405" s="431">
        <v>4.3600000000000003</v>
      </c>
      <c r="N1405" s="431">
        <v>4.0999999999999996</v>
      </c>
      <c r="O1405" s="431">
        <v>3.48</v>
      </c>
      <c r="P1405" s="431">
        <v>3.11</v>
      </c>
      <c r="Q1405" s="179">
        <f t="shared" si="41"/>
        <v>4.1074999999999999</v>
      </c>
      <c r="R1405" s="179" t="s">
        <v>993</v>
      </c>
    </row>
    <row r="1406" spans="1:18" x14ac:dyDescent="0.15">
      <c r="A1406" s="179" t="str">
        <f t="shared" si="40"/>
        <v>Oaxaca de Juarez_Flat Surface_90</v>
      </c>
      <c r="B1406" s="501" t="s">
        <v>1005</v>
      </c>
      <c r="C1406" s="429">
        <v>0</v>
      </c>
      <c r="D1406" s="429">
        <v>90</v>
      </c>
      <c r="E1406" s="431">
        <v>4.66</v>
      </c>
      <c r="F1406" s="431">
        <v>5.25</v>
      </c>
      <c r="G1406" s="431">
        <v>6.04</v>
      </c>
      <c r="H1406" s="431">
        <v>6.27</v>
      </c>
      <c r="I1406" s="431">
        <v>5.94</v>
      </c>
      <c r="J1406" s="431">
        <v>5.3</v>
      </c>
      <c r="K1406" s="431">
        <v>5.31</v>
      </c>
      <c r="L1406" s="431">
        <v>5.18</v>
      </c>
      <c r="M1406" s="431">
        <v>4.63</v>
      </c>
      <c r="N1406" s="431">
        <v>4.66</v>
      </c>
      <c r="O1406" s="431">
        <v>4.59</v>
      </c>
      <c r="P1406" s="431">
        <v>4.5</v>
      </c>
      <c r="Q1406" s="179">
        <f t="shared" si="41"/>
        <v>5.1941666666666677</v>
      </c>
      <c r="R1406" s="179" t="s">
        <v>994</v>
      </c>
    </row>
    <row r="1407" spans="1:18" x14ac:dyDescent="0.15">
      <c r="A1407" s="179" t="str">
        <f t="shared" si="40"/>
        <v>Oaxaca de Juarez_Flat Surface_112.5</v>
      </c>
      <c r="B1407" s="501" t="s">
        <v>1005</v>
      </c>
      <c r="C1407" s="429">
        <v>0</v>
      </c>
      <c r="D1407" s="429">
        <v>112.5</v>
      </c>
      <c r="E1407" s="431">
        <v>4.66</v>
      </c>
      <c r="F1407" s="431">
        <v>5.25</v>
      </c>
      <c r="G1407" s="431">
        <v>6.04</v>
      </c>
      <c r="H1407" s="431">
        <v>6.27</v>
      </c>
      <c r="I1407" s="431">
        <v>5.94</v>
      </c>
      <c r="J1407" s="431">
        <v>5.3</v>
      </c>
      <c r="K1407" s="431">
        <v>5.31</v>
      </c>
      <c r="L1407" s="431">
        <v>5.18</v>
      </c>
      <c r="M1407" s="431">
        <v>4.63</v>
      </c>
      <c r="N1407" s="431">
        <v>4.66</v>
      </c>
      <c r="O1407" s="431">
        <v>4.59</v>
      </c>
      <c r="P1407" s="431">
        <v>4.5</v>
      </c>
      <c r="Q1407" s="179">
        <f t="shared" si="41"/>
        <v>5.1941666666666677</v>
      </c>
      <c r="R1407" s="179" t="s">
        <v>994</v>
      </c>
    </row>
    <row r="1408" spans="1:18" x14ac:dyDescent="0.15">
      <c r="A1408" s="179" t="str">
        <f t="shared" si="40"/>
        <v>Oaxaca de Juarez_Flat Surface_135</v>
      </c>
      <c r="B1408" s="501" t="s">
        <v>1005</v>
      </c>
      <c r="C1408" s="429">
        <v>0</v>
      </c>
      <c r="D1408" s="429">
        <v>135</v>
      </c>
      <c r="E1408" s="431">
        <v>4.66</v>
      </c>
      <c r="F1408" s="431">
        <v>5.25</v>
      </c>
      <c r="G1408" s="431">
        <v>6.04</v>
      </c>
      <c r="H1408" s="431">
        <v>6.27</v>
      </c>
      <c r="I1408" s="431">
        <v>5.94</v>
      </c>
      <c r="J1408" s="431">
        <v>5.3</v>
      </c>
      <c r="K1408" s="431">
        <v>5.31</v>
      </c>
      <c r="L1408" s="431">
        <v>5.18</v>
      </c>
      <c r="M1408" s="431">
        <v>4.63</v>
      </c>
      <c r="N1408" s="431">
        <v>4.66</v>
      </c>
      <c r="O1408" s="431">
        <v>4.59</v>
      </c>
      <c r="P1408" s="431">
        <v>4.5</v>
      </c>
      <c r="Q1408" s="179">
        <f t="shared" si="41"/>
        <v>5.1941666666666677</v>
      </c>
      <c r="R1408" s="179" t="s">
        <v>994</v>
      </c>
    </row>
    <row r="1409" spans="1:18" x14ac:dyDescent="0.15">
      <c r="A1409" s="179" t="str">
        <f t="shared" si="40"/>
        <v>Oaxaca de Juarez_Flat Surface_157.5</v>
      </c>
      <c r="B1409" s="501" t="s">
        <v>1005</v>
      </c>
      <c r="C1409" s="429">
        <v>0</v>
      </c>
      <c r="D1409" s="429">
        <v>157.5</v>
      </c>
      <c r="E1409" s="431">
        <v>4.66</v>
      </c>
      <c r="F1409" s="431">
        <v>5.25</v>
      </c>
      <c r="G1409" s="431">
        <v>6.04</v>
      </c>
      <c r="H1409" s="431">
        <v>6.27</v>
      </c>
      <c r="I1409" s="431">
        <v>5.94</v>
      </c>
      <c r="J1409" s="431">
        <v>5.3</v>
      </c>
      <c r="K1409" s="431">
        <v>5.31</v>
      </c>
      <c r="L1409" s="431">
        <v>5.18</v>
      </c>
      <c r="M1409" s="431">
        <v>4.63</v>
      </c>
      <c r="N1409" s="431">
        <v>4.66</v>
      </c>
      <c r="O1409" s="431">
        <v>4.59</v>
      </c>
      <c r="P1409" s="431">
        <v>4.5</v>
      </c>
      <c r="Q1409" s="179">
        <f t="shared" si="41"/>
        <v>5.1941666666666677</v>
      </c>
      <c r="R1409" s="179" t="s">
        <v>994</v>
      </c>
    </row>
    <row r="1410" spans="1:18" x14ac:dyDescent="0.15">
      <c r="A1410" s="179" t="str">
        <f t="shared" ref="A1410:A1473" si="42">B1410&amp;"_"&amp;R1410&amp;"_"&amp;D1410</f>
        <v>Oaxaca de Juarez_Flat Surface_180</v>
      </c>
      <c r="B1410" s="501" t="s">
        <v>1005</v>
      </c>
      <c r="C1410" s="429">
        <v>0</v>
      </c>
      <c r="D1410" s="429">
        <v>180</v>
      </c>
      <c r="E1410" s="431">
        <v>4.66</v>
      </c>
      <c r="F1410" s="431">
        <v>5.25</v>
      </c>
      <c r="G1410" s="431">
        <v>6.04</v>
      </c>
      <c r="H1410" s="431">
        <v>6.27</v>
      </c>
      <c r="I1410" s="431">
        <v>5.94</v>
      </c>
      <c r="J1410" s="431">
        <v>5.3</v>
      </c>
      <c r="K1410" s="431">
        <v>5.31</v>
      </c>
      <c r="L1410" s="431">
        <v>5.18</v>
      </c>
      <c r="M1410" s="431">
        <v>4.63</v>
      </c>
      <c r="N1410" s="431">
        <v>4.66</v>
      </c>
      <c r="O1410" s="431">
        <v>4.59</v>
      </c>
      <c r="P1410" s="431">
        <v>4.5</v>
      </c>
      <c r="Q1410" s="179">
        <f t="shared" ref="Q1410:Q1473" si="43">AVERAGE(E1410:P1410)</f>
        <v>5.1941666666666677</v>
      </c>
      <c r="R1410" s="179" t="s">
        <v>994</v>
      </c>
    </row>
    <row r="1411" spans="1:18" x14ac:dyDescent="0.15">
      <c r="A1411" s="179" t="str">
        <f t="shared" si="42"/>
        <v>Oaxaca de Juarez_Flat Surface_202.5</v>
      </c>
      <c r="B1411" s="501" t="s">
        <v>1005</v>
      </c>
      <c r="C1411" s="429">
        <v>0</v>
      </c>
      <c r="D1411" s="429">
        <v>202.5</v>
      </c>
      <c r="E1411" s="431">
        <v>4.66</v>
      </c>
      <c r="F1411" s="431">
        <v>5.25</v>
      </c>
      <c r="G1411" s="431">
        <v>6.04</v>
      </c>
      <c r="H1411" s="431">
        <v>6.27</v>
      </c>
      <c r="I1411" s="431">
        <v>5.94</v>
      </c>
      <c r="J1411" s="431">
        <v>5.3</v>
      </c>
      <c r="K1411" s="431">
        <v>5.31</v>
      </c>
      <c r="L1411" s="431">
        <v>5.18</v>
      </c>
      <c r="M1411" s="431">
        <v>4.63</v>
      </c>
      <c r="N1411" s="431">
        <v>4.66</v>
      </c>
      <c r="O1411" s="431">
        <v>4.59</v>
      </c>
      <c r="P1411" s="431">
        <v>4.5</v>
      </c>
      <c r="Q1411" s="179">
        <f t="shared" si="43"/>
        <v>5.1941666666666677</v>
      </c>
      <c r="R1411" s="179" t="s">
        <v>994</v>
      </c>
    </row>
    <row r="1412" spans="1:18" x14ac:dyDescent="0.15">
      <c r="A1412" s="179" t="str">
        <f t="shared" si="42"/>
        <v>Oaxaca de Juarez_Flat Surface_225</v>
      </c>
      <c r="B1412" s="501" t="s">
        <v>1005</v>
      </c>
      <c r="C1412" s="429">
        <v>0</v>
      </c>
      <c r="D1412" s="429">
        <v>225</v>
      </c>
      <c r="E1412" s="431">
        <v>4.66</v>
      </c>
      <c r="F1412" s="431">
        <v>5.25</v>
      </c>
      <c r="G1412" s="431">
        <v>6.04</v>
      </c>
      <c r="H1412" s="431">
        <v>6.27</v>
      </c>
      <c r="I1412" s="431">
        <v>5.94</v>
      </c>
      <c r="J1412" s="431">
        <v>5.3</v>
      </c>
      <c r="K1412" s="431">
        <v>5.31</v>
      </c>
      <c r="L1412" s="431">
        <v>5.18</v>
      </c>
      <c r="M1412" s="431">
        <v>4.63</v>
      </c>
      <c r="N1412" s="431">
        <v>4.66</v>
      </c>
      <c r="O1412" s="431">
        <v>4.59</v>
      </c>
      <c r="P1412" s="431">
        <v>4.5</v>
      </c>
      <c r="Q1412" s="179">
        <f t="shared" si="43"/>
        <v>5.1941666666666677</v>
      </c>
      <c r="R1412" s="179" t="s">
        <v>994</v>
      </c>
    </row>
    <row r="1413" spans="1:18" x14ac:dyDescent="0.15">
      <c r="A1413" s="179" t="str">
        <f t="shared" si="42"/>
        <v>Oaxaca de Juarez_Flat Surface_247.5</v>
      </c>
      <c r="B1413" s="501" t="s">
        <v>1005</v>
      </c>
      <c r="C1413" s="429">
        <v>0</v>
      </c>
      <c r="D1413" s="429">
        <v>247.5</v>
      </c>
      <c r="E1413" s="431">
        <v>4.66</v>
      </c>
      <c r="F1413" s="431">
        <v>5.25</v>
      </c>
      <c r="G1413" s="431">
        <v>6.04</v>
      </c>
      <c r="H1413" s="431">
        <v>6.27</v>
      </c>
      <c r="I1413" s="431">
        <v>5.94</v>
      </c>
      <c r="J1413" s="431">
        <v>5.3</v>
      </c>
      <c r="K1413" s="431">
        <v>5.31</v>
      </c>
      <c r="L1413" s="431">
        <v>5.18</v>
      </c>
      <c r="M1413" s="431">
        <v>4.63</v>
      </c>
      <c r="N1413" s="431">
        <v>4.66</v>
      </c>
      <c r="O1413" s="431">
        <v>4.59</v>
      </c>
      <c r="P1413" s="431">
        <v>4.5</v>
      </c>
      <c r="Q1413" s="179">
        <f t="shared" si="43"/>
        <v>5.1941666666666677</v>
      </c>
      <c r="R1413" s="179" t="s">
        <v>994</v>
      </c>
    </row>
    <row r="1414" spans="1:18" x14ac:dyDescent="0.15">
      <c r="A1414" s="179" t="str">
        <f t="shared" si="42"/>
        <v>Oaxaca de Juarez_Flat Surface_270</v>
      </c>
      <c r="B1414" s="501" t="s">
        <v>1005</v>
      </c>
      <c r="C1414" s="429">
        <v>0</v>
      </c>
      <c r="D1414" s="429">
        <v>270</v>
      </c>
      <c r="E1414" s="431">
        <v>4.66</v>
      </c>
      <c r="F1414" s="431">
        <v>5.25</v>
      </c>
      <c r="G1414" s="431">
        <v>6.04</v>
      </c>
      <c r="H1414" s="431">
        <v>6.27</v>
      </c>
      <c r="I1414" s="431">
        <v>5.94</v>
      </c>
      <c r="J1414" s="431">
        <v>5.3</v>
      </c>
      <c r="K1414" s="431">
        <v>5.31</v>
      </c>
      <c r="L1414" s="431">
        <v>5.18</v>
      </c>
      <c r="M1414" s="431">
        <v>4.63</v>
      </c>
      <c r="N1414" s="431">
        <v>4.66</v>
      </c>
      <c r="O1414" s="431">
        <v>4.59</v>
      </c>
      <c r="P1414" s="431">
        <v>4.5</v>
      </c>
      <c r="Q1414" s="179">
        <f t="shared" si="43"/>
        <v>5.1941666666666677</v>
      </c>
      <c r="R1414" s="179" t="s">
        <v>994</v>
      </c>
    </row>
    <row r="1415" spans="1:18" x14ac:dyDescent="0.15">
      <c r="A1415" s="179" t="str">
        <f t="shared" si="42"/>
        <v>Oaxaca de Juarez_Optimal Summer_90</v>
      </c>
      <c r="B1415" s="501" t="s">
        <v>1005</v>
      </c>
      <c r="C1415" s="429">
        <v>2</v>
      </c>
      <c r="D1415" s="429">
        <v>90</v>
      </c>
      <c r="E1415" s="431">
        <v>3.82</v>
      </c>
      <c r="F1415" s="431">
        <v>4.2699999999999996</v>
      </c>
      <c r="G1415" s="431">
        <v>4.87</v>
      </c>
      <c r="H1415" s="431">
        <v>5.0199999999999996</v>
      </c>
      <c r="I1415" s="431">
        <v>4.7699999999999996</v>
      </c>
      <c r="J1415" s="431">
        <v>4.26</v>
      </c>
      <c r="K1415" s="431">
        <v>4.26</v>
      </c>
      <c r="L1415" s="431">
        <v>4.1399999999999997</v>
      </c>
      <c r="M1415" s="431">
        <v>3.72</v>
      </c>
      <c r="N1415" s="431">
        <v>3.78</v>
      </c>
      <c r="O1415" s="431">
        <v>3.75</v>
      </c>
      <c r="P1415" s="431">
        <v>3.69</v>
      </c>
      <c r="Q1415" s="179">
        <f t="shared" si="43"/>
        <v>4.1958333333333329</v>
      </c>
      <c r="R1415" s="179" t="s">
        <v>958</v>
      </c>
    </row>
    <row r="1416" spans="1:18" x14ac:dyDescent="0.15">
      <c r="A1416" s="179" t="str">
        <f t="shared" si="42"/>
        <v>Oaxaca de Juarez_Optimal Summer_112.5</v>
      </c>
      <c r="B1416" s="501" t="s">
        <v>1005</v>
      </c>
      <c r="C1416" s="429">
        <v>2</v>
      </c>
      <c r="D1416" s="429">
        <v>112.5</v>
      </c>
      <c r="E1416" s="431">
        <v>4.17</v>
      </c>
      <c r="F1416" s="431">
        <v>4.67</v>
      </c>
      <c r="G1416" s="431">
        <v>5.33</v>
      </c>
      <c r="H1416" s="431">
        <v>5.5</v>
      </c>
      <c r="I1416" s="431">
        <v>5.22</v>
      </c>
      <c r="J1416" s="431">
        <v>4.66</v>
      </c>
      <c r="K1416" s="431">
        <v>4.66</v>
      </c>
      <c r="L1416" s="431">
        <v>4.5199999999999996</v>
      </c>
      <c r="M1416" s="431">
        <v>4.07</v>
      </c>
      <c r="N1416" s="431">
        <v>4.13</v>
      </c>
      <c r="O1416" s="431">
        <v>4.0999999999999996</v>
      </c>
      <c r="P1416" s="431">
        <v>4.03</v>
      </c>
      <c r="Q1416" s="179">
        <f t="shared" si="43"/>
        <v>4.5883333333333338</v>
      </c>
      <c r="R1416" s="179" t="s">
        <v>958</v>
      </c>
    </row>
    <row r="1417" spans="1:18" x14ac:dyDescent="0.15">
      <c r="A1417" s="179" t="str">
        <f t="shared" si="42"/>
        <v>Oaxaca de Juarez_Optimal Summer_135</v>
      </c>
      <c r="B1417" s="501" t="s">
        <v>1005</v>
      </c>
      <c r="C1417" s="429">
        <v>2</v>
      </c>
      <c r="D1417" s="429">
        <v>135</v>
      </c>
      <c r="E1417" s="431">
        <v>4.53</v>
      </c>
      <c r="F1417" s="431">
        <v>5.07</v>
      </c>
      <c r="G1417" s="431">
        <v>5.79</v>
      </c>
      <c r="H1417" s="431">
        <v>5.97</v>
      </c>
      <c r="I1417" s="431">
        <v>5.66</v>
      </c>
      <c r="J1417" s="431">
        <v>5.05</v>
      </c>
      <c r="K1417" s="431">
        <v>5.0599999999999996</v>
      </c>
      <c r="L1417" s="431">
        <v>4.91</v>
      </c>
      <c r="M1417" s="431">
        <v>4.42</v>
      </c>
      <c r="N1417" s="431">
        <v>4.4800000000000004</v>
      </c>
      <c r="O1417" s="431">
        <v>4.46</v>
      </c>
      <c r="P1417" s="431">
        <v>4.38</v>
      </c>
      <c r="Q1417" s="179">
        <f t="shared" si="43"/>
        <v>4.9816666666666682</v>
      </c>
      <c r="R1417" s="179" t="s">
        <v>958</v>
      </c>
    </row>
    <row r="1418" spans="1:18" x14ac:dyDescent="0.15">
      <c r="A1418" s="179" t="str">
        <f t="shared" si="42"/>
        <v>Oaxaca de Juarez_Optimal Summer_157.5</v>
      </c>
      <c r="B1418" s="501" t="s">
        <v>1005</v>
      </c>
      <c r="C1418" s="429">
        <v>2</v>
      </c>
      <c r="D1418" s="429">
        <v>157.5</v>
      </c>
      <c r="E1418" s="431">
        <v>4.6500000000000004</v>
      </c>
      <c r="F1418" s="431">
        <v>5.21</v>
      </c>
      <c r="G1418" s="431">
        <v>5.94</v>
      </c>
      <c r="H1418" s="431">
        <v>6.12</v>
      </c>
      <c r="I1418" s="431">
        <v>5.81</v>
      </c>
      <c r="J1418" s="431">
        <v>5.19</v>
      </c>
      <c r="K1418" s="431">
        <v>5.2</v>
      </c>
      <c r="L1418" s="431">
        <v>5.04</v>
      </c>
      <c r="M1418" s="431">
        <v>4.53</v>
      </c>
      <c r="N1418" s="431">
        <v>4.5999999999999996</v>
      </c>
      <c r="O1418" s="431">
        <v>4.57</v>
      </c>
      <c r="P1418" s="431">
        <v>4.49</v>
      </c>
      <c r="Q1418" s="179">
        <f t="shared" si="43"/>
        <v>5.1125000000000007</v>
      </c>
      <c r="R1418" s="179" t="s">
        <v>958</v>
      </c>
    </row>
    <row r="1419" spans="1:18" x14ac:dyDescent="0.15">
      <c r="A1419" s="179" t="str">
        <f t="shared" si="42"/>
        <v>Oaxaca de Juarez_Optimal Summer_180</v>
      </c>
      <c r="B1419" s="501" t="s">
        <v>1005</v>
      </c>
      <c r="C1419" s="429">
        <v>2</v>
      </c>
      <c r="D1419" s="429">
        <v>180</v>
      </c>
      <c r="E1419" s="431">
        <v>4.7699999999999996</v>
      </c>
      <c r="F1419" s="431">
        <v>5.34</v>
      </c>
      <c r="G1419" s="431">
        <v>6.09</v>
      </c>
      <c r="H1419" s="431">
        <v>6.28</v>
      </c>
      <c r="I1419" s="431">
        <v>5.96</v>
      </c>
      <c r="J1419" s="431">
        <v>5.32</v>
      </c>
      <c r="K1419" s="431">
        <v>5.33</v>
      </c>
      <c r="L1419" s="431">
        <v>5.17</v>
      </c>
      <c r="M1419" s="431">
        <v>4.6500000000000004</v>
      </c>
      <c r="N1419" s="431">
        <v>4.72</v>
      </c>
      <c r="O1419" s="431">
        <v>4.6900000000000004</v>
      </c>
      <c r="P1419" s="431">
        <v>4.6100000000000003</v>
      </c>
      <c r="Q1419" s="179">
        <f t="shared" si="43"/>
        <v>5.2441666666666666</v>
      </c>
      <c r="R1419" s="179" t="s">
        <v>958</v>
      </c>
    </row>
    <row r="1420" spans="1:18" x14ac:dyDescent="0.15">
      <c r="A1420" s="179" t="str">
        <f t="shared" si="42"/>
        <v>Oaxaca de Juarez_Optimal Summer_202.5</v>
      </c>
      <c r="B1420" s="501" t="s">
        <v>1005</v>
      </c>
      <c r="C1420" s="429">
        <v>2</v>
      </c>
      <c r="D1420" s="429">
        <v>202.5</v>
      </c>
      <c r="E1420" s="431">
        <v>4.6500000000000004</v>
      </c>
      <c r="F1420" s="431">
        <v>5.21</v>
      </c>
      <c r="G1420" s="431">
        <v>5.94</v>
      </c>
      <c r="H1420" s="431">
        <v>6.12</v>
      </c>
      <c r="I1420" s="431">
        <v>5.81</v>
      </c>
      <c r="J1420" s="431">
        <v>5.19</v>
      </c>
      <c r="K1420" s="431">
        <v>5.2</v>
      </c>
      <c r="L1420" s="431">
        <v>5.04</v>
      </c>
      <c r="M1420" s="431">
        <v>4.53</v>
      </c>
      <c r="N1420" s="431">
        <v>4.5999999999999996</v>
      </c>
      <c r="O1420" s="431">
        <v>4.57</v>
      </c>
      <c r="P1420" s="431">
        <v>4.49</v>
      </c>
      <c r="Q1420" s="179">
        <f t="shared" si="43"/>
        <v>5.1125000000000007</v>
      </c>
      <c r="R1420" s="179" t="s">
        <v>958</v>
      </c>
    </row>
    <row r="1421" spans="1:18" x14ac:dyDescent="0.15">
      <c r="A1421" s="179" t="str">
        <f t="shared" si="42"/>
        <v>Oaxaca de Juarez_Optimal Summer_225</v>
      </c>
      <c r="B1421" s="501" t="s">
        <v>1005</v>
      </c>
      <c r="C1421" s="429">
        <v>2</v>
      </c>
      <c r="D1421" s="429">
        <v>225</v>
      </c>
      <c r="E1421" s="431">
        <v>4.53</v>
      </c>
      <c r="F1421" s="431">
        <v>5.07</v>
      </c>
      <c r="G1421" s="431">
        <v>5.79</v>
      </c>
      <c r="H1421" s="431">
        <v>5.97</v>
      </c>
      <c r="I1421" s="431">
        <v>5.66</v>
      </c>
      <c r="J1421" s="431">
        <v>5.05</v>
      </c>
      <c r="K1421" s="431">
        <v>5.0599999999999996</v>
      </c>
      <c r="L1421" s="431">
        <v>4.91</v>
      </c>
      <c r="M1421" s="431">
        <v>4.42</v>
      </c>
      <c r="N1421" s="431">
        <v>4.4800000000000004</v>
      </c>
      <c r="O1421" s="431">
        <v>4.46</v>
      </c>
      <c r="P1421" s="431">
        <v>4.38</v>
      </c>
      <c r="Q1421" s="179">
        <f t="shared" si="43"/>
        <v>4.9816666666666682</v>
      </c>
      <c r="R1421" s="179" t="s">
        <v>958</v>
      </c>
    </row>
    <row r="1422" spans="1:18" x14ac:dyDescent="0.15">
      <c r="A1422" s="179" t="str">
        <f t="shared" si="42"/>
        <v>Oaxaca de Juarez_Optimal Summer_247.5</v>
      </c>
      <c r="B1422" s="501" t="s">
        <v>1005</v>
      </c>
      <c r="C1422" s="429">
        <v>2</v>
      </c>
      <c r="D1422" s="429">
        <v>247.5</v>
      </c>
      <c r="E1422" s="431">
        <v>4.17</v>
      </c>
      <c r="F1422" s="431">
        <v>4.67</v>
      </c>
      <c r="G1422" s="431">
        <v>5.33</v>
      </c>
      <c r="H1422" s="431">
        <v>5.5</v>
      </c>
      <c r="I1422" s="431">
        <v>5.22</v>
      </c>
      <c r="J1422" s="431">
        <v>4.66</v>
      </c>
      <c r="K1422" s="431">
        <v>4.66</v>
      </c>
      <c r="L1422" s="431">
        <v>4.5199999999999996</v>
      </c>
      <c r="M1422" s="431">
        <v>4.07</v>
      </c>
      <c r="N1422" s="431">
        <v>4.13</v>
      </c>
      <c r="O1422" s="431">
        <v>4.0999999999999996</v>
      </c>
      <c r="P1422" s="431">
        <v>4.03</v>
      </c>
      <c r="Q1422" s="179">
        <f t="shared" si="43"/>
        <v>4.5883333333333338</v>
      </c>
      <c r="R1422" s="179" t="s">
        <v>958</v>
      </c>
    </row>
    <row r="1423" spans="1:18" x14ac:dyDescent="0.15">
      <c r="A1423" s="179" t="str">
        <f t="shared" si="42"/>
        <v>Oaxaca de Juarez_Optimal Summer_270</v>
      </c>
      <c r="B1423" s="501" t="s">
        <v>1005</v>
      </c>
      <c r="C1423" s="429">
        <v>2</v>
      </c>
      <c r="D1423" s="429">
        <v>270</v>
      </c>
      <c r="E1423" s="431">
        <v>3.82</v>
      </c>
      <c r="F1423" s="431">
        <v>4.2699999999999996</v>
      </c>
      <c r="G1423" s="431">
        <v>4.87</v>
      </c>
      <c r="H1423" s="431">
        <v>5.0199999999999996</v>
      </c>
      <c r="I1423" s="431">
        <v>4.7699999999999996</v>
      </c>
      <c r="J1423" s="431">
        <v>4.26</v>
      </c>
      <c r="K1423" s="431">
        <v>4.26</v>
      </c>
      <c r="L1423" s="431">
        <v>4.1399999999999997</v>
      </c>
      <c r="M1423" s="431">
        <v>3.72</v>
      </c>
      <c r="N1423" s="431">
        <v>3.78</v>
      </c>
      <c r="O1423" s="431">
        <v>3.75</v>
      </c>
      <c r="P1423" s="431">
        <v>3.69</v>
      </c>
      <c r="Q1423" s="179">
        <f t="shared" si="43"/>
        <v>4.1958333333333329</v>
      </c>
      <c r="R1423" s="179" t="s">
        <v>958</v>
      </c>
    </row>
    <row r="1424" spans="1:18" x14ac:dyDescent="0.15">
      <c r="A1424" s="179" t="str">
        <f t="shared" si="42"/>
        <v>Oaxaca de Juarez_Optimal Year Round_90</v>
      </c>
      <c r="B1424" s="501" t="s">
        <v>1005</v>
      </c>
      <c r="C1424" s="429">
        <v>17</v>
      </c>
      <c r="D1424" s="429">
        <v>90</v>
      </c>
      <c r="E1424" s="431">
        <v>4.37</v>
      </c>
      <c r="F1424" s="431">
        <v>4.66</v>
      </c>
      <c r="G1424" s="431">
        <v>5.04</v>
      </c>
      <c r="H1424" s="431">
        <v>4.93</v>
      </c>
      <c r="I1424" s="431">
        <v>4.72</v>
      </c>
      <c r="J1424" s="431">
        <v>4.28</v>
      </c>
      <c r="K1424" s="431">
        <v>4.26</v>
      </c>
      <c r="L1424" s="431">
        <v>4.01</v>
      </c>
      <c r="M1424" s="431">
        <v>3.74</v>
      </c>
      <c r="N1424" s="431">
        <v>3.99</v>
      </c>
      <c r="O1424" s="431">
        <v>4.21</v>
      </c>
      <c r="P1424" s="431">
        <v>4.28</v>
      </c>
      <c r="Q1424" s="179">
        <f t="shared" si="43"/>
        <v>4.3741666666666665</v>
      </c>
      <c r="R1424" s="179" t="s">
        <v>993</v>
      </c>
    </row>
    <row r="1425" spans="1:18" x14ac:dyDescent="0.15">
      <c r="A1425" s="179" t="str">
        <f t="shared" si="42"/>
        <v>Oaxaca de Juarez_Optimal Year Round_112.5</v>
      </c>
      <c r="B1425" s="501" t="s">
        <v>1005</v>
      </c>
      <c r="C1425" s="429">
        <v>17</v>
      </c>
      <c r="D1425" s="429">
        <v>112.5</v>
      </c>
      <c r="E1425" s="431">
        <v>4.78</v>
      </c>
      <c r="F1425" s="431">
        <v>5.09</v>
      </c>
      <c r="G1425" s="431">
        <v>5.51</v>
      </c>
      <c r="H1425" s="431">
        <v>5.39</v>
      </c>
      <c r="I1425" s="431">
        <v>5.16</v>
      </c>
      <c r="J1425" s="431">
        <v>4.68</v>
      </c>
      <c r="K1425" s="431">
        <v>4.66</v>
      </c>
      <c r="L1425" s="431">
        <v>4.38</v>
      </c>
      <c r="M1425" s="431">
        <v>4.0999999999999996</v>
      </c>
      <c r="N1425" s="431">
        <v>4.37</v>
      </c>
      <c r="O1425" s="431">
        <v>4.5999999999999996</v>
      </c>
      <c r="P1425" s="431">
        <v>4.68</v>
      </c>
      <c r="Q1425" s="179">
        <f t="shared" si="43"/>
        <v>4.7833333333333332</v>
      </c>
      <c r="R1425" s="179" t="s">
        <v>993</v>
      </c>
    </row>
    <row r="1426" spans="1:18" x14ac:dyDescent="0.15">
      <c r="A1426" s="179" t="str">
        <f t="shared" si="42"/>
        <v>Oaxaca de Juarez_Optimal Year Round_135</v>
      </c>
      <c r="B1426" s="501" t="s">
        <v>1005</v>
      </c>
      <c r="C1426" s="429">
        <v>17</v>
      </c>
      <c r="D1426" s="429">
        <v>135</v>
      </c>
      <c r="E1426" s="431">
        <v>5.19</v>
      </c>
      <c r="F1426" s="431">
        <v>5.53</v>
      </c>
      <c r="G1426" s="431">
        <v>5.98</v>
      </c>
      <c r="H1426" s="431">
        <v>5.85</v>
      </c>
      <c r="I1426" s="431">
        <v>5.6</v>
      </c>
      <c r="J1426" s="431">
        <v>5.08</v>
      </c>
      <c r="K1426" s="431">
        <v>5.0599999999999996</v>
      </c>
      <c r="L1426" s="431">
        <v>4.76</v>
      </c>
      <c r="M1426" s="431">
        <v>4.45</v>
      </c>
      <c r="N1426" s="431">
        <v>4.74</v>
      </c>
      <c r="O1426" s="431">
        <v>5</v>
      </c>
      <c r="P1426" s="431">
        <v>5.08</v>
      </c>
      <c r="Q1426" s="179">
        <f t="shared" si="43"/>
        <v>5.1933333333333342</v>
      </c>
      <c r="R1426" s="179" t="s">
        <v>993</v>
      </c>
    </row>
    <row r="1427" spans="1:18" x14ac:dyDescent="0.15">
      <c r="A1427" s="179" t="str">
        <f t="shared" si="42"/>
        <v>Oaxaca de Juarez_Optimal Year Round_157.5</v>
      </c>
      <c r="B1427" s="501" t="s">
        <v>1005</v>
      </c>
      <c r="C1427" s="429">
        <v>17</v>
      </c>
      <c r="D1427" s="429">
        <v>157.5</v>
      </c>
      <c r="E1427" s="431">
        <v>5.32</v>
      </c>
      <c r="F1427" s="431">
        <v>5.67</v>
      </c>
      <c r="G1427" s="431">
        <v>6.14</v>
      </c>
      <c r="H1427" s="431">
        <v>6.01</v>
      </c>
      <c r="I1427" s="431">
        <v>5.75</v>
      </c>
      <c r="J1427" s="431">
        <v>5.22</v>
      </c>
      <c r="K1427" s="431">
        <v>5.2</v>
      </c>
      <c r="L1427" s="431">
        <v>4.88</v>
      </c>
      <c r="M1427" s="431">
        <v>4.5599999999999996</v>
      </c>
      <c r="N1427" s="431">
        <v>4.87</v>
      </c>
      <c r="O1427" s="431">
        <v>5.13</v>
      </c>
      <c r="P1427" s="431">
        <v>5.22</v>
      </c>
      <c r="Q1427" s="179">
        <f t="shared" si="43"/>
        <v>5.3308333333333335</v>
      </c>
      <c r="R1427" s="179" t="s">
        <v>993</v>
      </c>
    </row>
    <row r="1428" spans="1:18" x14ac:dyDescent="0.15">
      <c r="A1428" s="179" t="str">
        <f t="shared" si="42"/>
        <v>Oaxaca de Juarez_Optimal Year Round_180</v>
      </c>
      <c r="B1428" s="501" t="s">
        <v>1005</v>
      </c>
      <c r="C1428" s="429">
        <v>17</v>
      </c>
      <c r="D1428" s="429">
        <v>180</v>
      </c>
      <c r="E1428" s="431">
        <v>5.46</v>
      </c>
      <c r="F1428" s="431">
        <v>5.82</v>
      </c>
      <c r="G1428" s="431">
        <v>6.3</v>
      </c>
      <c r="H1428" s="431">
        <v>6.16</v>
      </c>
      <c r="I1428" s="431">
        <v>5.9</v>
      </c>
      <c r="J1428" s="431">
        <v>5.35</v>
      </c>
      <c r="K1428" s="431">
        <v>5.33</v>
      </c>
      <c r="L1428" s="431">
        <v>5.01</v>
      </c>
      <c r="M1428" s="431">
        <v>4.68</v>
      </c>
      <c r="N1428" s="431">
        <v>4.99</v>
      </c>
      <c r="O1428" s="431">
        <v>5.26</v>
      </c>
      <c r="P1428" s="431">
        <v>5.35</v>
      </c>
      <c r="Q1428" s="179">
        <f t="shared" si="43"/>
        <v>5.4675000000000002</v>
      </c>
      <c r="R1428" s="179" t="s">
        <v>993</v>
      </c>
    </row>
    <row r="1429" spans="1:18" x14ac:dyDescent="0.15">
      <c r="A1429" s="179" t="str">
        <f t="shared" si="42"/>
        <v>Oaxaca de Juarez_Optimal Year Round_202.5</v>
      </c>
      <c r="B1429" s="501" t="s">
        <v>1005</v>
      </c>
      <c r="C1429" s="429">
        <v>17</v>
      </c>
      <c r="D1429" s="429">
        <v>202.5</v>
      </c>
      <c r="E1429" s="431">
        <v>5.32</v>
      </c>
      <c r="F1429" s="431">
        <v>5.67</v>
      </c>
      <c r="G1429" s="431">
        <v>6.14</v>
      </c>
      <c r="H1429" s="431">
        <v>6.01</v>
      </c>
      <c r="I1429" s="431">
        <v>5.75</v>
      </c>
      <c r="J1429" s="431">
        <v>5.22</v>
      </c>
      <c r="K1429" s="431">
        <v>5.2</v>
      </c>
      <c r="L1429" s="431">
        <v>4.88</v>
      </c>
      <c r="M1429" s="431">
        <v>4.5599999999999996</v>
      </c>
      <c r="N1429" s="431">
        <v>4.87</v>
      </c>
      <c r="O1429" s="431">
        <v>5.13</v>
      </c>
      <c r="P1429" s="431">
        <v>5.22</v>
      </c>
      <c r="Q1429" s="179">
        <f t="shared" si="43"/>
        <v>5.3308333333333335</v>
      </c>
      <c r="R1429" s="179" t="s">
        <v>993</v>
      </c>
    </row>
    <row r="1430" spans="1:18" x14ac:dyDescent="0.15">
      <c r="A1430" s="179" t="str">
        <f t="shared" si="42"/>
        <v>Oaxaca de Juarez_Optimal Year Round_225</v>
      </c>
      <c r="B1430" s="501" t="s">
        <v>1005</v>
      </c>
      <c r="C1430" s="429">
        <v>17</v>
      </c>
      <c r="D1430" s="429">
        <v>225</v>
      </c>
      <c r="E1430" s="431">
        <v>5.19</v>
      </c>
      <c r="F1430" s="431">
        <v>5.53</v>
      </c>
      <c r="G1430" s="431">
        <v>5.98</v>
      </c>
      <c r="H1430" s="431">
        <v>5.85</v>
      </c>
      <c r="I1430" s="431">
        <v>5.6</v>
      </c>
      <c r="J1430" s="431">
        <v>5.08</v>
      </c>
      <c r="K1430" s="431">
        <v>5.0599999999999996</v>
      </c>
      <c r="L1430" s="431">
        <v>4.76</v>
      </c>
      <c r="M1430" s="431">
        <v>4.45</v>
      </c>
      <c r="N1430" s="431">
        <v>4.74</v>
      </c>
      <c r="O1430" s="431">
        <v>5</v>
      </c>
      <c r="P1430" s="431">
        <v>5.08</v>
      </c>
      <c r="Q1430" s="179">
        <f t="shared" si="43"/>
        <v>5.1933333333333342</v>
      </c>
      <c r="R1430" s="179" t="s">
        <v>993</v>
      </c>
    </row>
    <row r="1431" spans="1:18" x14ac:dyDescent="0.15">
      <c r="A1431" s="179" t="str">
        <f t="shared" si="42"/>
        <v>Oaxaca de Juarez_Optimal Year Round_247.5</v>
      </c>
      <c r="B1431" s="501" t="s">
        <v>1005</v>
      </c>
      <c r="C1431" s="429">
        <v>17</v>
      </c>
      <c r="D1431" s="429">
        <v>247.5</v>
      </c>
      <c r="E1431" s="431">
        <v>4.78</v>
      </c>
      <c r="F1431" s="431">
        <v>5.09</v>
      </c>
      <c r="G1431" s="431">
        <v>5.51</v>
      </c>
      <c r="H1431" s="431">
        <v>5.39</v>
      </c>
      <c r="I1431" s="431">
        <v>5.16</v>
      </c>
      <c r="J1431" s="431">
        <v>4.68</v>
      </c>
      <c r="K1431" s="431">
        <v>4.66</v>
      </c>
      <c r="L1431" s="431">
        <v>4.38</v>
      </c>
      <c r="M1431" s="431">
        <v>4.0999999999999996</v>
      </c>
      <c r="N1431" s="431">
        <v>4.37</v>
      </c>
      <c r="O1431" s="431">
        <v>4.5999999999999996</v>
      </c>
      <c r="P1431" s="431">
        <v>4.68</v>
      </c>
      <c r="Q1431" s="179">
        <f t="shared" si="43"/>
        <v>4.7833333333333332</v>
      </c>
      <c r="R1431" s="179" t="s">
        <v>993</v>
      </c>
    </row>
    <row r="1432" spans="1:18" x14ac:dyDescent="0.15">
      <c r="A1432" s="179" t="str">
        <f t="shared" si="42"/>
        <v>Oaxaca de Juarez_Optimal Year Round_270</v>
      </c>
      <c r="B1432" s="501" t="s">
        <v>1005</v>
      </c>
      <c r="C1432" s="429">
        <v>17</v>
      </c>
      <c r="D1432" s="429">
        <v>270</v>
      </c>
      <c r="E1432" s="431">
        <v>4.37</v>
      </c>
      <c r="F1432" s="431">
        <v>4.66</v>
      </c>
      <c r="G1432" s="431">
        <v>5.04</v>
      </c>
      <c r="H1432" s="431">
        <v>4.93</v>
      </c>
      <c r="I1432" s="431">
        <v>4.72</v>
      </c>
      <c r="J1432" s="431">
        <v>4.28</v>
      </c>
      <c r="K1432" s="431">
        <v>4.26</v>
      </c>
      <c r="L1432" s="431">
        <v>4.01</v>
      </c>
      <c r="M1432" s="431">
        <v>3.74</v>
      </c>
      <c r="N1432" s="431">
        <v>3.99</v>
      </c>
      <c r="O1432" s="431">
        <v>4.21</v>
      </c>
      <c r="P1432" s="431">
        <v>4.28</v>
      </c>
      <c r="Q1432" s="179">
        <f t="shared" si="43"/>
        <v>4.3741666666666665</v>
      </c>
      <c r="R1432" s="179" t="s">
        <v>993</v>
      </c>
    </row>
    <row r="1433" spans="1:18" x14ac:dyDescent="0.15">
      <c r="A1433" s="179" t="str">
        <f t="shared" si="42"/>
        <v>Pachuca de Soto_Flat Surface_90</v>
      </c>
      <c r="B1433" s="501" t="s">
        <v>1006</v>
      </c>
      <c r="C1433" s="429">
        <v>0</v>
      </c>
      <c r="D1433" s="429">
        <v>90</v>
      </c>
      <c r="E1433" s="431">
        <v>4.1399999999999997</v>
      </c>
      <c r="F1433" s="431">
        <v>4.96</v>
      </c>
      <c r="G1433" s="431">
        <v>5.78</v>
      </c>
      <c r="H1433" s="431">
        <v>6.04</v>
      </c>
      <c r="I1433" s="431">
        <v>6.23</v>
      </c>
      <c r="J1433" s="431">
        <v>5.7</v>
      </c>
      <c r="K1433" s="431">
        <v>5.55</v>
      </c>
      <c r="L1433" s="431">
        <v>5.41</v>
      </c>
      <c r="M1433" s="431">
        <v>4.68</v>
      </c>
      <c r="N1433" s="431">
        <v>4.4800000000000004</v>
      </c>
      <c r="O1433" s="431">
        <v>4.32</v>
      </c>
      <c r="P1433" s="431">
        <v>3.87</v>
      </c>
      <c r="Q1433" s="179">
        <f t="shared" si="43"/>
        <v>5.0966666666666667</v>
      </c>
      <c r="R1433" s="179" t="s">
        <v>994</v>
      </c>
    </row>
    <row r="1434" spans="1:18" x14ac:dyDescent="0.15">
      <c r="A1434" s="179" t="str">
        <f t="shared" si="42"/>
        <v>Pachuca de Soto_Flat Surface_112.5</v>
      </c>
      <c r="B1434" s="501" t="s">
        <v>1006</v>
      </c>
      <c r="C1434" s="429">
        <v>0</v>
      </c>
      <c r="D1434" s="429">
        <v>112.5</v>
      </c>
      <c r="E1434" s="431">
        <v>4.1399999999999997</v>
      </c>
      <c r="F1434" s="431">
        <v>4.96</v>
      </c>
      <c r="G1434" s="431">
        <v>5.78</v>
      </c>
      <c r="H1434" s="431">
        <v>6.04</v>
      </c>
      <c r="I1434" s="431">
        <v>6.23</v>
      </c>
      <c r="J1434" s="431">
        <v>5.7</v>
      </c>
      <c r="K1434" s="431">
        <v>5.55</v>
      </c>
      <c r="L1434" s="431">
        <v>5.41</v>
      </c>
      <c r="M1434" s="431">
        <v>4.68</v>
      </c>
      <c r="N1434" s="431">
        <v>4.4800000000000004</v>
      </c>
      <c r="O1434" s="431">
        <v>4.32</v>
      </c>
      <c r="P1434" s="431">
        <v>3.87</v>
      </c>
      <c r="Q1434" s="179">
        <f t="shared" si="43"/>
        <v>5.0966666666666667</v>
      </c>
      <c r="R1434" s="179" t="s">
        <v>994</v>
      </c>
    </row>
    <row r="1435" spans="1:18" x14ac:dyDescent="0.15">
      <c r="A1435" s="179" t="str">
        <f t="shared" si="42"/>
        <v>Pachuca de Soto_Flat Surface_135</v>
      </c>
      <c r="B1435" s="501" t="s">
        <v>1006</v>
      </c>
      <c r="C1435" s="429">
        <v>0</v>
      </c>
      <c r="D1435" s="429">
        <v>135</v>
      </c>
      <c r="E1435" s="431">
        <v>4.1399999999999997</v>
      </c>
      <c r="F1435" s="431">
        <v>4.96</v>
      </c>
      <c r="G1435" s="431">
        <v>5.78</v>
      </c>
      <c r="H1435" s="431">
        <v>6.04</v>
      </c>
      <c r="I1435" s="431">
        <v>6.23</v>
      </c>
      <c r="J1435" s="431">
        <v>5.7</v>
      </c>
      <c r="K1435" s="431">
        <v>5.55</v>
      </c>
      <c r="L1435" s="431">
        <v>5.41</v>
      </c>
      <c r="M1435" s="431">
        <v>4.68</v>
      </c>
      <c r="N1435" s="431">
        <v>4.4800000000000004</v>
      </c>
      <c r="O1435" s="431">
        <v>4.32</v>
      </c>
      <c r="P1435" s="431">
        <v>3.87</v>
      </c>
      <c r="Q1435" s="179">
        <f t="shared" si="43"/>
        <v>5.0966666666666667</v>
      </c>
      <c r="R1435" s="179" t="s">
        <v>994</v>
      </c>
    </row>
    <row r="1436" spans="1:18" x14ac:dyDescent="0.15">
      <c r="A1436" s="179" t="str">
        <f t="shared" si="42"/>
        <v>Pachuca de Soto_Flat Surface_157.5</v>
      </c>
      <c r="B1436" s="501" t="s">
        <v>1006</v>
      </c>
      <c r="C1436" s="429">
        <v>0</v>
      </c>
      <c r="D1436" s="429">
        <v>157.5</v>
      </c>
      <c r="E1436" s="431">
        <v>4.1399999999999997</v>
      </c>
      <c r="F1436" s="431">
        <v>4.96</v>
      </c>
      <c r="G1436" s="431">
        <v>5.78</v>
      </c>
      <c r="H1436" s="431">
        <v>6.04</v>
      </c>
      <c r="I1436" s="431">
        <v>6.23</v>
      </c>
      <c r="J1436" s="431">
        <v>5.7</v>
      </c>
      <c r="K1436" s="431">
        <v>5.55</v>
      </c>
      <c r="L1436" s="431">
        <v>5.41</v>
      </c>
      <c r="M1436" s="431">
        <v>4.68</v>
      </c>
      <c r="N1436" s="431">
        <v>4.4800000000000004</v>
      </c>
      <c r="O1436" s="431">
        <v>4.32</v>
      </c>
      <c r="P1436" s="431">
        <v>3.87</v>
      </c>
      <c r="Q1436" s="179">
        <f t="shared" si="43"/>
        <v>5.0966666666666667</v>
      </c>
      <c r="R1436" s="179" t="s">
        <v>994</v>
      </c>
    </row>
    <row r="1437" spans="1:18" x14ac:dyDescent="0.15">
      <c r="A1437" s="179" t="str">
        <f t="shared" si="42"/>
        <v>Pachuca de Soto_Flat Surface_180</v>
      </c>
      <c r="B1437" s="501" t="s">
        <v>1006</v>
      </c>
      <c r="C1437" s="429">
        <v>0</v>
      </c>
      <c r="D1437" s="429">
        <v>180</v>
      </c>
      <c r="E1437" s="431">
        <v>4.1399999999999997</v>
      </c>
      <c r="F1437" s="431">
        <v>4.96</v>
      </c>
      <c r="G1437" s="431">
        <v>5.78</v>
      </c>
      <c r="H1437" s="431">
        <v>6.04</v>
      </c>
      <c r="I1437" s="431">
        <v>6.23</v>
      </c>
      <c r="J1437" s="431">
        <v>5.7</v>
      </c>
      <c r="K1437" s="431">
        <v>5.55</v>
      </c>
      <c r="L1437" s="431">
        <v>5.41</v>
      </c>
      <c r="M1437" s="431">
        <v>4.68</v>
      </c>
      <c r="N1437" s="431">
        <v>4.4800000000000004</v>
      </c>
      <c r="O1437" s="431">
        <v>4.32</v>
      </c>
      <c r="P1437" s="431">
        <v>3.87</v>
      </c>
      <c r="Q1437" s="179">
        <f t="shared" si="43"/>
        <v>5.0966666666666667</v>
      </c>
      <c r="R1437" s="179" t="s">
        <v>994</v>
      </c>
    </row>
    <row r="1438" spans="1:18" x14ac:dyDescent="0.15">
      <c r="A1438" s="179" t="str">
        <f t="shared" si="42"/>
        <v>Pachuca de Soto_Flat Surface_202.5</v>
      </c>
      <c r="B1438" s="501" t="s">
        <v>1006</v>
      </c>
      <c r="C1438" s="429">
        <v>0</v>
      </c>
      <c r="D1438" s="429">
        <v>202.5</v>
      </c>
      <c r="E1438" s="431">
        <v>4.1399999999999997</v>
      </c>
      <c r="F1438" s="431">
        <v>4.96</v>
      </c>
      <c r="G1438" s="431">
        <v>5.78</v>
      </c>
      <c r="H1438" s="431">
        <v>6.04</v>
      </c>
      <c r="I1438" s="431">
        <v>6.23</v>
      </c>
      <c r="J1438" s="431">
        <v>5.7</v>
      </c>
      <c r="K1438" s="431">
        <v>5.55</v>
      </c>
      <c r="L1438" s="431">
        <v>5.41</v>
      </c>
      <c r="M1438" s="431">
        <v>4.68</v>
      </c>
      <c r="N1438" s="431">
        <v>4.4800000000000004</v>
      </c>
      <c r="O1438" s="431">
        <v>4.32</v>
      </c>
      <c r="P1438" s="431">
        <v>3.87</v>
      </c>
      <c r="Q1438" s="179">
        <f t="shared" si="43"/>
        <v>5.0966666666666667</v>
      </c>
      <c r="R1438" s="179" t="s">
        <v>994</v>
      </c>
    </row>
    <row r="1439" spans="1:18" x14ac:dyDescent="0.15">
      <c r="A1439" s="179" t="str">
        <f t="shared" si="42"/>
        <v>Pachuca de Soto_Flat Surface_225</v>
      </c>
      <c r="B1439" s="501" t="s">
        <v>1006</v>
      </c>
      <c r="C1439" s="429">
        <v>0</v>
      </c>
      <c r="D1439" s="429">
        <v>225</v>
      </c>
      <c r="E1439" s="431">
        <v>4.1399999999999997</v>
      </c>
      <c r="F1439" s="431">
        <v>4.96</v>
      </c>
      <c r="G1439" s="431">
        <v>5.78</v>
      </c>
      <c r="H1439" s="431">
        <v>6.04</v>
      </c>
      <c r="I1439" s="431">
        <v>6.23</v>
      </c>
      <c r="J1439" s="431">
        <v>5.7</v>
      </c>
      <c r="K1439" s="431">
        <v>5.55</v>
      </c>
      <c r="L1439" s="431">
        <v>5.41</v>
      </c>
      <c r="M1439" s="431">
        <v>4.68</v>
      </c>
      <c r="N1439" s="431">
        <v>4.4800000000000004</v>
      </c>
      <c r="O1439" s="431">
        <v>4.32</v>
      </c>
      <c r="P1439" s="431">
        <v>3.87</v>
      </c>
      <c r="Q1439" s="179">
        <f t="shared" si="43"/>
        <v>5.0966666666666667</v>
      </c>
      <c r="R1439" s="179" t="s">
        <v>994</v>
      </c>
    </row>
    <row r="1440" spans="1:18" x14ac:dyDescent="0.15">
      <c r="A1440" s="179" t="str">
        <f t="shared" si="42"/>
        <v>Pachuca de Soto_Flat Surface_247.5</v>
      </c>
      <c r="B1440" s="501" t="s">
        <v>1006</v>
      </c>
      <c r="C1440" s="429">
        <v>0</v>
      </c>
      <c r="D1440" s="429">
        <v>247.5</v>
      </c>
      <c r="E1440" s="431">
        <v>4.1399999999999997</v>
      </c>
      <c r="F1440" s="431">
        <v>4.96</v>
      </c>
      <c r="G1440" s="431">
        <v>5.78</v>
      </c>
      <c r="H1440" s="431">
        <v>6.04</v>
      </c>
      <c r="I1440" s="431">
        <v>6.23</v>
      </c>
      <c r="J1440" s="431">
        <v>5.7</v>
      </c>
      <c r="K1440" s="431">
        <v>5.55</v>
      </c>
      <c r="L1440" s="431">
        <v>5.41</v>
      </c>
      <c r="M1440" s="431">
        <v>4.68</v>
      </c>
      <c r="N1440" s="431">
        <v>4.4800000000000004</v>
      </c>
      <c r="O1440" s="431">
        <v>4.32</v>
      </c>
      <c r="P1440" s="431">
        <v>3.87</v>
      </c>
      <c r="Q1440" s="179">
        <f t="shared" si="43"/>
        <v>5.0966666666666667</v>
      </c>
      <c r="R1440" s="179" t="s">
        <v>994</v>
      </c>
    </row>
    <row r="1441" spans="1:18" x14ac:dyDescent="0.15">
      <c r="A1441" s="179" t="str">
        <f t="shared" si="42"/>
        <v>Pachuca de Soto_Flat Surface_270</v>
      </c>
      <c r="B1441" s="501" t="s">
        <v>1006</v>
      </c>
      <c r="C1441" s="429">
        <v>0</v>
      </c>
      <c r="D1441" s="429">
        <v>270</v>
      </c>
      <c r="E1441" s="431">
        <v>4.1399999999999997</v>
      </c>
      <c r="F1441" s="431">
        <v>4.96</v>
      </c>
      <c r="G1441" s="431">
        <v>5.78</v>
      </c>
      <c r="H1441" s="431">
        <v>6.04</v>
      </c>
      <c r="I1441" s="431">
        <v>6.23</v>
      </c>
      <c r="J1441" s="431">
        <v>5.7</v>
      </c>
      <c r="K1441" s="431">
        <v>5.55</v>
      </c>
      <c r="L1441" s="431">
        <v>5.41</v>
      </c>
      <c r="M1441" s="431">
        <v>4.68</v>
      </c>
      <c r="N1441" s="431">
        <v>4.4800000000000004</v>
      </c>
      <c r="O1441" s="431">
        <v>4.32</v>
      </c>
      <c r="P1441" s="431">
        <v>3.87</v>
      </c>
      <c r="Q1441" s="179">
        <f t="shared" si="43"/>
        <v>5.0966666666666667</v>
      </c>
      <c r="R1441" s="179" t="s">
        <v>994</v>
      </c>
    </row>
    <row r="1442" spans="1:18" x14ac:dyDescent="0.15">
      <c r="A1442" s="179" t="str">
        <f t="shared" si="42"/>
        <v>Pachuca de Soto_Optimal Summer_90</v>
      </c>
      <c r="B1442" s="501" t="s">
        <v>1006</v>
      </c>
      <c r="C1442" s="429">
        <v>5</v>
      </c>
      <c r="D1442" s="429">
        <v>90</v>
      </c>
      <c r="E1442" s="431">
        <v>3.51</v>
      </c>
      <c r="F1442" s="431">
        <v>4.1399999999999997</v>
      </c>
      <c r="G1442" s="431">
        <v>4.74</v>
      </c>
      <c r="H1442" s="431">
        <v>4.8600000000000003</v>
      </c>
      <c r="I1442" s="431">
        <v>4.9400000000000004</v>
      </c>
      <c r="J1442" s="431">
        <v>4.5999999999999996</v>
      </c>
      <c r="K1442" s="431">
        <v>4.46</v>
      </c>
      <c r="L1442" s="431">
        <v>4.33</v>
      </c>
      <c r="M1442" s="431">
        <v>3.79</v>
      </c>
      <c r="N1442" s="431">
        <v>3.7</v>
      </c>
      <c r="O1442" s="431">
        <v>3.65</v>
      </c>
      <c r="P1442" s="431">
        <v>3.29</v>
      </c>
      <c r="Q1442" s="179">
        <f t="shared" si="43"/>
        <v>4.1674999999999995</v>
      </c>
      <c r="R1442" s="179" t="s">
        <v>958</v>
      </c>
    </row>
    <row r="1443" spans="1:18" x14ac:dyDescent="0.15">
      <c r="A1443" s="179" t="str">
        <f t="shared" si="42"/>
        <v>Pachuca de Soto_Optimal Summer_112.5</v>
      </c>
      <c r="B1443" s="501" t="s">
        <v>1006</v>
      </c>
      <c r="C1443" s="429">
        <v>5</v>
      </c>
      <c r="D1443" s="429">
        <v>112.5</v>
      </c>
      <c r="E1443" s="431">
        <v>3.84</v>
      </c>
      <c r="F1443" s="431">
        <v>4.5199999999999996</v>
      </c>
      <c r="G1443" s="431">
        <v>5.18</v>
      </c>
      <c r="H1443" s="431">
        <v>5.31</v>
      </c>
      <c r="I1443" s="431">
        <v>5.4</v>
      </c>
      <c r="J1443" s="431">
        <v>5.03</v>
      </c>
      <c r="K1443" s="431">
        <v>4.88</v>
      </c>
      <c r="L1443" s="431">
        <v>4.7300000000000004</v>
      </c>
      <c r="M1443" s="431">
        <v>4.1500000000000004</v>
      </c>
      <c r="N1443" s="431">
        <v>4.04</v>
      </c>
      <c r="O1443" s="431">
        <v>3.99</v>
      </c>
      <c r="P1443" s="431">
        <v>3.6</v>
      </c>
      <c r="Q1443" s="179">
        <f t="shared" si="43"/>
        <v>4.5558333333333332</v>
      </c>
      <c r="R1443" s="179" t="s">
        <v>958</v>
      </c>
    </row>
    <row r="1444" spans="1:18" x14ac:dyDescent="0.15">
      <c r="A1444" s="179" t="str">
        <f t="shared" si="42"/>
        <v>Pachuca de Soto_Optimal Summer_135</v>
      </c>
      <c r="B1444" s="501" t="s">
        <v>1006</v>
      </c>
      <c r="C1444" s="429">
        <v>5</v>
      </c>
      <c r="D1444" s="429">
        <v>135</v>
      </c>
      <c r="E1444" s="431">
        <v>4.17</v>
      </c>
      <c r="F1444" s="431">
        <v>4.91</v>
      </c>
      <c r="G1444" s="431">
        <v>5.62</v>
      </c>
      <c r="H1444" s="431">
        <v>5.77</v>
      </c>
      <c r="I1444" s="431">
        <v>5.86</v>
      </c>
      <c r="J1444" s="431">
        <v>5.46</v>
      </c>
      <c r="K1444" s="431">
        <v>5.3</v>
      </c>
      <c r="L1444" s="431">
        <v>5.14</v>
      </c>
      <c r="M1444" s="431">
        <v>4.5</v>
      </c>
      <c r="N1444" s="431">
        <v>4.3899999999999997</v>
      </c>
      <c r="O1444" s="431">
        <v>4.33</v>
      </c>
      <c r="P1444" s="431">
        <v>3.9</v>
      </c>
      <c r="Q1444" s="179">
        <f t="shared" si="43"/>
        <v>4.9458333333333329</v>
      </c>
      <c r="R1444" s="179" t="s">
        <v>958</v>
      </c>
    </row>
    <row r="1445" spans="1:18" x14ac:dyDescent="0.15">
      <c r="A1445" s="179" t="str">
        <f t="shared" si="42"/>
        <v>Pachuca de Soto_Optimal Summer_157.5</v>
      </c>
      <c r="B1445" s="501" t="s">
        <v>1006</v>
      </c>
      <c r="C1445" s="429">
        <v>5</v>
      </c>
      <c r="D1445" s="429">
        <v>157.5</v>
      </c>
      <c r="E1445" s="431">
        <v>4.28</v>
      </c>
      <c r="F1445" s="431">
        <v>5.04</v>
      </c>
      <c r="G1445" s="431">
        <v>5.77</v>
      </c>
      <c r="H1445" s="431">
        <v>5.92</v>
      </c>
      <c r="I1445" s="431">
        <v>6.02</v>
      </c>
      <c r="J1445" s="431">
        <v>5.61</v>
      </c>
      <c r="K1445" s="431">
        <v>5.44</v>
      </c>
      <c r="L1445" s="431">
        <v>5.27</v>
      </c>
      <c r="M1445" s="431">
        <v>4.62</v>
      </c>
      <c r="N1445" s="431">
        <v>4.5</v>
      </c>
      <c r="O1445" s="431">
        <v>4.45</v>
      </c>
      <c r="P1445" s="431">
        <v>4.01</v>
      </c>
      <c r="Q1445" s="179">
        <f t="shared" si="43"/>
        <v>5.0774999999999997</v>
      </c>
      <c r="R1445" s="179" t="s">
        <v>958</v>
      </c>
    </row>
    <row r="1446" spans="1:18" x14ac:dyDescent="0.15">
      <c r="A1446" s="179" t="str">
        <f t="shared" si="42"/>
        <v>Pachuca de Soto_Optimal Summer_180</v>
      </c>
      <c r="B1446" s="501" t="s">
        <v>1006</v>
      </c>
      <c r="C1446" s="429">
        <v>5</v>
      </c>
      <c r="D1446" s="429">
        <v>180</v>
      </c>
      <c r="E1446" s="431">
        <v>4.3899999999999997</v>
      </c>
      <c r="F1446" s="431">
        <v>5.17</v>
      </c>
      <c r="G1446" s="431">
        <v>5.92</v>
      </c>
      <c r="H1446" s="431">
        <v>6.07</v>
      </c>
      <c r="I1446" s="431">
        <v>6.17</v>
      </c>
      <c r="J1446" s="431">
        <v>5.75</v>
      </c>
      <c r="K1446" s="431">
        <v>5.58</v>
      </c>
      <c r="L1446" s="431">
        <v>5.41</v>
      </c>
      <c r="M1446" s="431">
        <v>4.74</v>
      </c>
      <c r="N1446" s="431">
        <v>4.62</v>
      </c>
      <c r="O1446" s="431">
        <v>4.5599999999999996</v>
      </c>
      <c r="P1446" s="431">
        <v>4.1100000000000003</v>
      </c>
      <c r="Q1446" s="179">
        <f t="shared" si="43"/>
        <v>5.2074999999999996</v>
      </c>
      <c r="R1446" s="179" t="s">
        <v>958</v>
      </c>
    </row>
    <row r="1447" spans="1:18" x14ac:dyDescent="0.15">
      <c r="A1447" s="179" t="str">
        <f t="shared" si="42"/>
        <v>Pachuca de Soto_Optimal Summer_202.5</v>
      </c>
      <c r="B1447" s="501" t="s">
        <v>1006</v>
      </c>
      <c r="C1447" s="429">
        <v>5</v>
      </c>
      <c r="D1447" s="429">
        <v>202.5</v>
      </c>
      <c r="E1447" s="431">
        <v>4.28</v>
      </c>
      <c r="F1447" s="431">
        <v>5.04</v>
      </c>
      <c r="G1447" s="431">
        <v>5.77</v>
      </c>
      <c r="H1447" s="431">
        <v>5.92</v>
      </c>
      <c r="I1447" s="431">
        <v>6.02</v>
      </c>
      <c r="J1447" s="431">
        <v>5.61</v>
      </c>
      <c r="K1447" s="431">
        <v>5.44</v>
      </c>
      <c r="L1447" s="431">
        <v>5.27</v>
      </c>
      <c r="M1447" s="431">
        <v>4.62</v>
      </c>
      <c r="N1447" s="431">
        <v>4.5</v>
      </c>
      <c r="O1447" s="431">
        <v>4.45</v>
      </c>
      <c r="P1447" s="431">
        <v>4.01</v>
      </c>
      <c r="Q1447" s="179">
        <f t="shared" si="43"/>
        <v>5.0774999999999997</v>
      </c>
      <c r="R1447" s="179" t="s">
        <v>958</v>
      </c>
    </row>
    <row r="1448" spans="1:18" x14ac:dyDescent="0.15">
      <c r="A1448" s="179" t="str">
        <f t="shared" si="42"/>
        <v>Pachuca de Soto_Optimal Summer_225</v>
      </c>
      <c r="B1448" s="501" t="s">
        <v>1006</v>
      </c>
      <c r="C1448" s="429">
        <v>5</v>
      </c>
      <c r="D1448" s="429">
        <v>225</v>
      </c>
      <c r="E1448" s="431">
        <v>4.17</v>
      </c>
      <c r="F1448" s="431">
        <v>4.91</v>
      </c>
      <c r="G1448" s="431">
        <v>5.62</v>
      </c>
      <c r="H1448" s="431">
        <v>5.77</v>
      </c>
      <c r="I1448" s="431">
        <v>5.86</v>
      </c>
      <c r="J1448" s="431">
        <v>5.46</v>
      </c>
      <c r="K1448" s="431">
        <v>5.3</v>
      </c>
      <c r="L1448" s="431">
        <v>5.14</v>
      </c>
      <c r="M1448" s="431">
        <v>4.5</v>
      </c>
      <c r="N1448" s="431">
        <v>4.3899999999999997</v>
      </c>
      <c r="O1448" s="431">
        <v>4.33</v>
      </c>
      <c r="P1448" s="431">
        <v>3.9</v>
      </c>
      <c r="Q1448" s="179">
        <f t="shared" si="43"/>
        <v>4.9458333333333329</v>
      </c>
      <c r="R1448" s="179" t="s">
        <v>958</v>
      </c>
    </row>
    <row r="1449" spans="1:18" x14ac:dyDescent="0.15">
      <c r="A1449" s="179" t="str">
        <f t="shared" si="42"/>
        <v>Pachuca de Soto_Optimal Summer_247.5</v>
      </c>
      <c r="B1449" s="501" t="s">
        <v>1006</v>
      </c>
      <c r="C1449" s="429">
        <v>5</v>
      </c>
      <c r="D1449" s="429">
        <v>247.5</v>
      </c>
      <c r="E1449" s="431">
        <v>3.84</v>
      </c>
      <c r="F1449" s="431">
        <v>4.5199999999999996</v>
      </c>
      <c r="G1449" s="431">
        <v>5.18</v>
      </c>
      <c r="H1449" s="431">
        <v>5.31</v>
      </c>
      <c r="I1449" s="431">
        <v>5.4</v>
      </c>
      <c r="J1449" s="431">
        <v>5.03</v>
      </c>
      <c r="K1449" s="431">
        <v>4.88</v>
      </c>
      <c r="L1449" s="431">
        <v>4.7300000000000004</v>
      </c>
      <c r="M1449" s="431">
        <v>4.1500000000000004</v>
      </c>
      <c r="N1449" s="431">
        <v>4.04</v>
      </c>
      <c r="O1449" s="431">
        <v>3.99</v>
      </c>
      <c r="P1449" s="431">
        <v>3.6</v>
      </c>
      <c r="Q1449" s="179">
        <f t="shared" si="43"/>
        <v>4.5558333333333332</v>
      </c>
      <c r="R1449" s="179" t="s">
        <v>958</v>
      </c>
    </row>
    <row r="1450" spans="1:18" x14ac:dyDescent="0.15">
      <c r="A1450" s="179" t="str">
        <f t="shared" si="42"/>
        <v>Pachuca de Soto_Optimal Summer_270</v>
      </c>
      <c r="B1450" s="501" t="s">
        <v>1006</v>
      </c>
      <c r="C1450" s="429">
        <v>5</v>
      </c>
      <c r="D1450" s="429">
        <v>270</v>
      </c>
      <c r="E1450" s="431">
        <v>3.51</v>
      </c>
      <c r="F1450" s="431">
        <v>4.1399999999999997</v>
      </c>
      <c r="G1450" s="431">
        <v>4.74</v>
      </c>
      <c r="H1450" s="431">
        <v>4.8600000000000003</v>
      </c>
      <c r="I1450" s="431">
        <v>4.9400000000000004</v>
      </c>
      <c r="J1450" s="431">
        <v>4.5999999999999996</v>
      </c>
      <c r="K1450" s="431">
        <v>4.46</v>
      </c>
      <c r="L1450" s="431">
        <v>4.33</v>
      </c>
      <c r="M1450" s="431">
        <v>3.79</v>
      </c>
      <c r="N1450" s="431">
        <v>3.7</v>
      </c>
      <c r="O1450" s="431">
        <v>3.65</v>
      </c>
      <c r="P1450" s="431">
        <v>3.29</v>
      </c>
      <c r="Q1450" s="179">
        <f t="shared" si="43"/>
        <v>4.1674999999999995</v>
      </c>
      <c r="R1450" s="179" t="s">
        <v>958</v>
      </c>
    </row>
    <row r="1451" spans="1:18" x14ac:dyDescent="0.15">
      <c r="A1451" s="179" t="str">
        <f t="shared" si="42"/>
        <v>Pachuca de Soto_Optimal Year Round_90</v>
      </c>
      <c r="B1451" s="501" t="s">
        <v>1006</v>
      </c>
      <c r="C1451" s="429">
        <v>20</v>
      </c>
      <c r="D1451" s="429">
        <v>90</v>
      </c>
      <c r="E1451" s="431">
        <v>3.99</v>
      </c>
      <c r="F1451" s="431">
        <v>4.51</v>
      </c>
      <c r="G1451" s="431">
        <v>4.9000000000000004</v>
      </c>
      <c r="H1451" s="431">
        <v>4.76</v>
      </c>
      <c r="I1451" s="431">
        <v>4.63</v>
      </c>
      <c r="J1451" s="431">
        <v>4.5599999999999996</v>
      </c>
      <c r="K1451" s="431">
        <v>4.41</v>
      </c>
      <c r="L1451" s="431">
        <v>4.18</v>
      </c>
      <c r="M1451" s="431">
        <v>3.81</v>
      </c>
      <c r="N1451" s="431">
        <v>3.91</v>
      </c>
      <c r="O1451" s="431">
        <v>4.0999999999999996</v>
      </c>
      <c r="P1451" s="431">
        <v>3.76</v>
      </c>
      <c r="Q1451" s="179">
        <f t="shared" si="43"/>
        <v>4.293333333333333</v>
      </c>
      <c r="R1451" s="179" t="s">
        <v>993</v>
      </c>
    </row>
    <row r="1452" spans="1:18" x14ac:dyDescent="0.15">
      <c r="A1452" s="179" t="str">
        <f t="shared" si="42"/>
        <v>Pachuca de Soto_Optimal Year Round_112.5</v>
      </c>
      <c r="B1452" s="501" t="s">
        <v>1006</v>
      </c>
      <c r="C1452" s="429">
        <v>20</v>
      </c>
      <c r="D1452" s="429">
        <v>112.5</v>
      </c>
      <c r="E1452" s="431">
        <v>4.37</v>
      </c>
      <c r="F1452" s="431">
        <v>4.9400000000000004</v>
      </c>
      <c r="G1452" s="431">
        <v>5.36</v>
      </c>
      <c r="H1452" s="431">
        <v>5.21</v>
      </c>
      <c r="I1452" s="431">
        <v>5.07</v>
      </c>
      <c r="J1452" s="431">
        <v>4.99</v>
      </c>
      <c r="K1452" s="431">
        <v>4.82</v>
      </c>
      <c r="L1452" s="431">
        <v>4.58</v>
      </c>
      <c r="M1452" s="431">
        <v>4.16</v>
      </c>
      <c r="N1452" s="431">
        <v>4.28</v>
      </c>
      <c r="O1452" s="431">
        <v>4.4800000000000004</v>
      </c>
      <c r="P1452" s="431">
        <v>4.1100000000000003</v>
      </c>
      <c r="Q1452" s="179">
        <f t="shared" si="43"/>
        <v>4.6975000000000007</v>
      </c>
      <c r="R1452" s="179" t="s">
        <v>993</v>
      </c>
    </row>
    <row r="1453" spans="1:18" x14ac:dyDescent="0.15">
      <c r="A1453" s="179" t="str">
        <f t="shared" si="42"/>
        <v>Pachuca de Soto_Optimal Year Round_135</v>
      </c>
      <c r="B1453" s="501" t="s">
        <v>1006</v>
      </c>
      <c r="C1453" s="429">
        <v>20</v>
      </c>
      <c r="D1453" s="429">
        <v>135</v>
      </c>
      <c r="E1453" s="431">
        <v>4.74</v>
      </c>
      <c r="F1453" s="431">
        <v>5.36</v>
      </c>
      <c r="G1453" s="431">
        <v>5.81</v>
      </c>
      <c r="H1453" s="431">
        <v>5.65</v>
      </c>
      <c r="I1453" s="431">
        <v>5.5</v>
      </c>
      <c r="J1453" s="431">
        <v>5.42</v>
      </c>
      <c r="K1453" s="431">
        <v>5.23</v>
      </c>
      <c r="L1453" s="431">
        <v>4.97</v>
      </c>
      <c r="M1453" s="431">
        <v>4.5199999999999996</v>
      </c>
      <c r="N1453" s="431">
        <v>4.6500000000000004</v>
      </c>
      <c r="O1453" s="431">
        <v>4.8600000000000003</v>
      </c>
      <c r="P1453" s="431">
        <v>4.46</v>
      </c>
      <c r="Q1453" s="179">
        <f t="shared" si="43"/>
        <v>5.0975000000000001</v>
      </c>
      <c r="R1453" s="179" t="s">
        <v>993</v>
      </c>
    </row>
    <row r="1454" spans="1:18" x14ac:dyDescent="0.15">
      <c r="A1454" s="179" t="str">
        <f t="shared" si="42"/>
        <v>Pachuca de Soto_Optimal Year Round_157.5</v>
      </c>
      <c r="B1454" s="501" t="s">
        <v>1006</v>
      </c>
      <c r="C1454" s="429">
        <v>20</v>
      </c>
      <c r="D1454" s="429">
        <v>157.5</v>
      </c>
      <c r="E1454" s="431">
        <v>4.87</v>
      </c>
      <c r="F1454" s="431">
        <v>5.5</v>
      </c>
      <c r="G1454" s="431">
        <v>5.97</v>
      </c>
      <c r="H1454" s="431">
        <v>5.8</v>
      </c>
      <c r="I1454" s="431">
        <v>5.65</v>
      </c>
      <c r="J1454" s="431">
        <v>5.56</v>
      </c>
      <c r="K1454" s="431">
        <v>5.37</v>
      </c>
      <c r="L1454" s="431">
        <v>5.0999999999999996</v>
      </c>
      <c r="M1454" s="431">
        <v>4.6399999999999997</v>
      </c>
      <c r="N1454" s="431">
        <v>4.7699999999999996</v>
      </c>
      <c r="O1454" s="431">
        <v>4.99</v>
      </c>
      <c r="P1454" s="431">
        <v>4.58</v>
      </c>
      <c r="Q1454" s="179">
        <f t="shared" si="43"/>
        <v>5.2333333333333334</v>
      </c>
      <c r="R1454" s="179" t="s">
        <v>993</v>
      </c>
    </row>
    <row r="1455" spans="1:18" x14ac:dyDescent="0.15">
      <c r="A1455" s="179" t="str">
        <f t="shared" si="42"/>
        <v>Pachuca de Soto_Optimal Year Round_180</v>
      </c>
      <c r="B1455" s="501" t="s">
        <v>1006</v>
      </c>
      <c r="C1455" s="429">
        <v>20</v>
      </c>
      <c r="D1455" s="429">
        <v>180</v>
      </c>
      <c r="E1455" s="431">
        <v>4.99</v>
      </c>
      <c r="F1455" s="431">
        <v>5.64</v>
      </c>
      <c r="G1455" s="431">
        <v>6.12</v>
      </c>
      <c r="H1455" s="431">
        <v>5.95</v>
      </c>
      <c r="I1455" s="431">
        <v>5.79</v>
      </c>
      <c r="J1455" s="431">
        <v>5.7</v>
      </c>
      <c r="K1455" s="431">
        <v>5.51</v>
      </c>
      <c r="L1455" s="431">
        <v>5.23</v>
      </c>
      <c r="M1455" s="431">
        <v>4.76</v>
      </c>
      <c r="N1455" s="431">
        <v>4.8899999999999997</v>
      </c>
      <c r="O1455" s="431">
        <v>5.12</v>
      </c>
      <c r="P1455" s="431">
        <v>4.7</v>
      </c>
      <c r="Q1455" s="179">
        <f t="shared" si="43"/>
        <v>5.3666666666666663</v>
      </c>
      <c r="R1455" s="179" t="s">
        <v>993</v>
      </c>
    </row>
    <row r="1456" spans="1:18" x14ac:dyDescent="0.15">
      <c r="A1456" s="179" t="str">
        <f t="shared" si="42"/>
        <v>Pachuca de Soto_Optimal Year Round_202.5</v>
      </c>
      <c r="B1456" s="501" t="s">
        <v>1006</v>
      </c>
      <c r="C1456" s="429">
        <v>20</v>
      </c>
      <c r="D1456" s="429">
        <v>202.5</v>
      </c>
      <c r="E1456" s="431">
        <v>4.87</v>
      </c>
      <c r="F1456" s="431">
        <v>5.5</v>
      </c>
      <c r="G1456" s="431">
        <v>5.97</v>
      </c>
      <c r="H1456" s="431">
        <v>5.8</v>
      </c>
      <c r="I1456" s="431">
        <v>5.65</v>
      </c>
      <c r="J1456" s="431">
        <v>5.56</v>
      </c>
      <c r="K1456" s="431">
        <v>5.37</v>
      </c>
      <c r="L1456" s="431">
        <v>5.0999999999999996</v>
      </c>
      <c r="M1456" s="431">
        <v>4.6399999999999997</v>
      </c>
      <c r="N1456" s="431">
        <v>4.7699999999999996</v>
      </c>
      <c r="O1456" s="431">
        <v>4.99</v>
      </c>
      <c r="P1456" s="431">
        <v>4.58</v>
      </c>
      <c r="Q1456" s="179">
        <f t="shared" si="43"/>
        <v>5.2333333333333334</v>
      </c>
      <c r="R1456" s="179" t="s">
        <v>993</v>
      </c>
    </row>
    <row r="1457" spans="1:18" x14ac:dyDescent="0.15">
      <c r="A1457" s="179" t="str">
        <f t="shared" si="42"/>
        <v>Pachuca de Soto_Optimal Year Round_225</v>
      </c>
      <c r="B1457" s="501" t="s">
        <v>1006</v>
      </c>
      <c r="C1457" s="429">
        <v>20</v>
      </c>
      <c r="D1457" s="429">
        <v>225</v>
      </c>
      <c r="E1457" s="431">
        <v>4.74</v>
      </c>
      <c r="F1457" s="431">
        <v>5.36</v>
      </c>
      <c r="G1457" s="431">
        <v>5.81</v>
      </c>
      <c r="H1457" s="431">
        <v>5.65</v>
      </c>
      <c r="I1457" s="431">
        <v>5.5</v>
      </c>
      <c r="J1457" s="431">
        <v>5.42</v>
      </c>
      <c r="K1457" s="431">
        <v>5.23</v>
      </c>
      <c r="L1457" s="431">
        <v>4.97</v>
      </c>
      <c r="M1457" s="431">
        <v>4.5199999999999996</v>
      </c>
      <c r="N1457" s="431">
        <v>4.6500000000000004</v>
      </c>
      <c r="O1457" s="431">
        <v>4.8600000000000003</v>
      </c>
      <c r="P1457" s="431">
        <v>4.46</v>
      </c>
      <c r="Q1457" s="179">
        <f t="shared" si="43"/>
        <v>5.0975000000000001</v>
      </c>
      <c r="R1457" s="179" t="s">
        <v>993</v>
      </c>
    </row>
    <row r="1458" spans="1:18" x14ac:dyDescent="0.15">
      <c r="A1458" s="179" t="str">
        <f t="shared" si="42"/>
        <v>Pachuca de Soto_Optimal Year Round_247.5</v>
      </c>
      <c r="B1458" s="501" t="s">
        <v>1006</v>
      </c>
      <c r="C1458" s="429">
        <v>20</v>
      </c>
      <c r="D1458" s="429">
        <v>247.5</v>
      </c>
      <c r="E1458" s="431">
        <v>4.37</v>
      </c>
      <c r="F1458" s="431">
        <v>4.9400000000000004</v>
      </c>
      <c r="G1458" s="431">
        <v>5.36</v>
      </c>
      <c r="H1458" s="431">
        <v>5.21</v>
      </c>
      <c r="I1458" s="431">
        <v>5.07</v>
      </c>
      <c r="J1458" s="431">
        <v>4.99</v>
      </c>
      <c r="K1458" s="431">
        <v>4.82</v>
      </c>
      <c r="L1458" s="431">
        <v>4.58</v>
      </c>
      <c r="M1458" s="431">
        <v>4.16</v>
      </c>
      <c r="N1458" s="431">
        <v>4.28</v>
      </c>
      <c r="O1458" s="431">
        <v>4.4800000000000004</v>
      </c>
      <c r="P1458" s="431">
        <v>4.1100000000000003</v>
      </c>
      <c r="Q1458" s="179">
        <f t="shared" si="43"/>
        <v>4.6975000000000007</v>
      </c>
      <c r="R1458" s="179" t="s">
        <v>993</v>
      </c>
    </row>
    <row r="1459" spans="1:18" x14ac:dyDescent="0.15">
      <c r="A1459" s="179" t="str">
        <f t="shared" si="42"/>
        <v>Pachuca de Soto_Optimal Year Round_270</v>
      </c>
      <c r="B1459" s="501" t="s">
        <v>1006</v>
      </c>
      <c r="C1459" s="429">
        <v>20</v>
      </c>
      <c r="D1459" s="429">
        <v>270</v>
      </c>
      <c r="E1459" s="431">
        <v>3.99</v>
      </c>
      <c r="F1459" s="431">
        <v>4.51</v>
      </c>
      <c r="G1459" s="431">
        <v>4.9000000000000004</v>
      </c>
      <c r="H1459" s="431">
        <v>4.76</v>
      </c>
      <c r="I1459" s="431">
        <v>4.63</v>
      </c>
      <c r="J1459" s="431">
        <v>4.5599999999999996</v>
      </c>
      <c r="K1459" s="431">
        <v>4.41</v>
      </c>
      <c r="L1459" s="431">
        <v>4.18</v>
      </c>
      <c r="M1459" s="431">
        <v>3.81</v>
      </c>
      <c r="N1459" s="431">
        <v>3.91</v>
      </c>
      <c r="O1459" s="431">
        <v>4.0999999999999996</v>
      </c>
      <c r="P1459" s="431">
        <v>3.76</v>
      </c>
      <c r="Q1459" s="179">
        <f t="shared" si="43"/>
        <v>4.293333333333333</v>
      </c>
      <c r="R1459" s="179" t="s">
        <v>993</v>
      </c>
    </row>
    <row r="1460" spans="1:18" x14ac:dyDescent="0.15">
      <c r="A1460" s="179" t="str">
        <f t="shared" si="42"/>
        <v>Puebla_Flat Surface_90</v>
      </c>
      <c r="B1460" s="501" t="s">
        <v>655</v>
      </c>
      <c r="C1460" s="429">
        <v>0</v>
      </c>
      <c r="D1460" s="429">
        <v>90</v>
      </c>
      <c r="E1460" s="431">
        <v>4.6900000000000004</v>
      </c>
      <c r="F1460" s="431">
        <v>5.45</v>
      </c>
      <c r="G1460" s="431">
        <v>6.13</v>
      </c>
      <c r="H1460" s="431">
        <v>6.1</v>
      </c>
      <c r="I1460" s="431">
        <v>6.07</v>
      </c>
      <c r="J1460" s="431">
        <v>5.61</v>
      </c>
      <c r="K1460" s="431">
        <v>5.64</v>
      </c>
      <c r="L1460" s="431">
        <v>5.46</v>
      </c>
      <c r="M1460" s="431">
        <v>4.88</v>
      </c>
      <c r="N1460" s="431">
        <v>4.8899999999999997</v>
      </c>
      <c r="O1460" s="431">
        <v>4.75</v>
      </c>
      <c r="P1460" s="431">
        <v>4.33</v>
      </c>
      <c r="Q1460" s="179">
        <f t="shared" si="43"/>
        <v>5.333333333333333</v>
      </c>
      <c r="R1460" s="179" t="s">
        <v>994</v>
      </c>
    </row>
    <row r="1461" spans="1:18" x14ac:dyDescent="0.15">
      <c r="A1461" s="179" t="str">
        <f t="shared" si="42"/>
        <v>Puebla_Flat Surface_112.5</v>
      </c>
      <c r="B1461" s="501" t="s">
        <v>655</v>
      </c>
      <c r="C1461" s="429">
        <v>0</v>
      </c>
      <c r="D1461" s="429">
        <v>112.5</v>
      </c>
      <c r="E1461" s="431">
        <v>4.6900000000000004</v>
      </c>
      <c r="F1461" s="431">
        <v>5.45</v>
      </c>
      <c r="G1461" s="431">
        <v>6.13</v>
      </c>
      <c r="H1461" s="431">
        <v>6.1</v>
      </c>
      <c r="I1461" s="431">
        <v>6.07</v>
      </c>
      <c r="J1461" s="431">
        <v>5.61</v>
      </c>
      <c r="K1461" s="431">
        <v>5.64</v>
      </c>
      <c r="L1461" s="431">
        <v>5.46</v>
      </c>
      <c r="M1461" s="431">
        <v>4.88</v>
      </c>
      <c r="N1461" s="431">
        <v>4.8899999999999997</v>
      </c>
      <c r="O1461" s="431">
        <v>4.75</v>
      </c>
      <c r="P1461" s="431">
        <v>4.33</v>
      </c>
      <c r="Q1461" s="179">
        <f t="shared" si="43"/>
        <v>5.333333333333333</v>
      </c>
      <c r="R1461" s="179" t="s">
        <v>994</v>
      </c>
    </row>
    <row r="1462" spans="1:18" x14ac:dyDescent="0.15">
      <c r="A1462" s="179" t="str">
        <f t="shared" si="42"/>
        <v>Puebla_Flat Surface_135</v>
      </c>
      <c r="B1462" s="501" t="s">
        <v>655</v>
      </c>
      <c r="C1462" s="429">
        <v>0</v>
      </c>
      <c r="D1462" s="429">
        <v>135</v>
      </c>
      <c r="E1462" s="431">
        <v>4.6900000000000004</v>
      </c>
      <c r="F1462" s="431">
        <v>5.45</v>
      </c>
      <c r="G1462" s="431">
        <v>6.13</v>
      </c>
      <c r="H1462" s="431">
        <v>6.1</v>
      </c>
      <c r="I1462" s="431">
        <v>6.07</v>
      </c>
      <c r="J1462" s="431">
        <v>5.61</v>
      </c>
      <c r="K1462" s="431">
        <v>5.64</v>
      </c>
      <c r="L1462" s="431">
        <v>5.46</v>
      </c>
      <c r="M1462" s="431">
        <v>4.88</v>
      </c>
      <c r="N1462" s="431">
        <v>4.8899999999999997</v>
      </c>
      <c r="O1462" s="431">
        <v>4.75</v>
      </c>
      <c r="P1462" s="431">
        <v>4.33</v>
      </c>
      <c r="Q1462" s="179">
        <f t="shared" si="43"/>
        <v>5.333333333333333</v>
      </c>
      <c r="R1462" s="179" t="s">
        <v>994</v>
      </c>
    </row>
    <row r="1463" spans="1:18" x14ac:dyDescent="0.15">
      <c r="A1463" s="179" t="str">
        <f t="shared" si="42"/>
        <v>Puebla_Flat Surface_157.5</v>
      </c>
      <c r="B1463" s="501" t="s">
        <v>655</v>
      </c>
      <c r="C1463" s="429">
        <v>0</v>
      </c>
      <c r="D1463" s="429">
        <v>157.5</v>
      </c>
      <c r="E1463" s="431">
        <v>4.6900000000000004</v>
      </c>
      <c r="F1463" s="431">
        <v>5.45</v>
      </c>
      <c r="G1463" s="431">
        <v>6.13</v>
      </c>
      <c r="H1463" s="431">
        <v>6.1</v>
      </c>
      <c r="I1463" s="431">
        <v>6.07</v>
      </c>
      <c r="J1463" s="431">
        <v>5.61</v>
      </c>
      <c r="K1463" s="431">
        <v>5.64</v>
      </c>
      <c r="L1463" s="431">
        <v>5.46</v>
      </c>
      <c r="M1463" s="431">
        <v>4.88</v>
      </c>
      <c r="N1463" s="431">
        <v>4.8899999999999997</v>
      </c>
      <c r="O1463" s="431">
        <v>4.75</v>
      </c>
      <c r="P1463" s="431">
        <v>4.33</v>
      </c>
      <c r="Q1463" s="179">
        <f t="shared" si="43"/>
        <v>5.333333333333333</v>
      </c>
      <c r="R1463" s="179" t="s">
        <v>994</v>
      </c>
    </row>
    <row r="1464" spans="1:18" x14ac:dyDescent="0.15">
      <c r="A1464" s="179" t="str">
        <f t="shared" si="42"/>
        <v>Puebla_Flat Surface_180</v>
      </c>
      <c r="B1464" s="501" t="s">
        <v>655</v>
      </c>
      <c r="C1464" s="429">
        <v>0</v>
      </c>
      <c r="D1464" s="429">
        <v>180</v>
      </c>
      <c r="E1464" s="431">
        <v>4.6900000000000004</v>
      </c>
      <c r="F1464" s="431">
        <v>5.45</v>
      </c>
      <c r="G1464" s="431">
        <v>6.13</v>
      </c>
      <c r="H1464" s="431">
        <v>6.1</v>
      </c>
      <c r="I1464" s="431">
        <v>6.07</v>
      </c>
      <c r="J1464" s="431">
        <v>5.61</v>
      </c>
      <c r="K1464" s="431">
        <v>5.64</v>
      </c>
      <c r="L1464" s="431">
        <v>5.46</v>
      </c>
      <c r="M1464" s="431">
        <v>4.88</v>
      </c>
      <c r="N1464" s="431">
        <v>4.8899999999999997</v>
      </c>
      <c r="O1464" s="431">
        <v>4.75</v>
      </c>
      <c r="P1464" s="431">
        <v>4.33</v>
      </c>
      <c r="Q1464" s="179">
        <f t="shared" si="43"/>
        <v>5.333333333333333</v>
      </c>
      <c r="R1464" s="179" t="s">
        <v>994</v>
      </c>
    </row>
    <row r="1465" spans="1:18" x14ac:dyDescent="0.15">
      <c r="A1465" s="179" t="str">
        <f t="shared" si="42"/>
        <v>Puebla_Flat Surface_202.5</v>
      </c>
      <c r="B1465" s="501" t="s">
        <v>655</v>
      </c>
      <c r="C1465" s="429">
        <v>0</v>
      </c>
      <c r="D1465" s="429">
        <v>202.5</v>
      </c>
      <c r="E1465" s="431">
        <v>4.6900000000000004</v>
      </c>
      <c r="F1465" s="431">
        <v>5.45</v>
      </c>
      <c r="G1465" s="431">
        <v>6.13</v>
      </c>
      <c r="H1465" s="431">
        <v>6.1</v>
      </c>
      <c r="I1465" s="431">
        <v>6.07</v>
      </c>
      <c r="J1465" s="431">
        <v>5.61</v>
      </c>
      <c r="K1465" s="431">
        <v>5.64</v>
      </c>
      <c r="L1465" s="431">
        <v>5.46</v>
      </c>
      <c r="M1465" s="431">
        <v>4.88</v>
      </c>
      <c r="N1465" s="431">
        <v>4.8899999999999997</v>
      </c>
      <c r="O1465" s="431">
        <v>4.75</v>
      </c>
      <c r="P1465" s="431">
        <v>4.33</v>
      </c>
      <c r="Q1465" s="179">
        <f t="shared" si="43"/>
        <v>5.333333333333333</v>
      </c>
      <c r="R1465" s="179" t="s">
        <v>994</v>
      </c>
    </row>
    <row r="1466" spans="1:18" x14ac:dyDescent="0.15">
      <c r="A1466" s="179" t="str">
        <f t="shared" si="42"/>
        <v>Puebla_Flat Surface_225</v>
      </c>
      <c r="B1466" s="501" t="s">
        <v>655</v>
      </c>
      <c r="C1466" s="429">
        <v>0</v>
      </c>
      <c r="D1466" s="429">
        <v>225</v>
      </c>
      <c r="E1466" s="431">
        <v>4.6900000000000004</v>
      </c>
      <c r="F1466" s="431">
        <v>5.45</v>
      </c>
      <c r="G1466" s="431">
        <v>6.13</v>
      </c>
      <c r="H1466" s="431">
        <v>6.1</v>
      </c>
      <c r="I1466" s="431">
        <v>6.07</v>
      </c>
      <c r="J1466" s="431">
        <v>5.61</v>
      </c>
      <c r="K1466" s="431">
        <v>5.64</v>
      </c>
      <c r="L1466" s="431">
        <v>5.46</v>
      </c>
      <c r="M1466" s="431">
        <v>4.88</v>
      </c>
      <c r="N1466" s="431">
        <v>4.8899999999999997</v>
      </c>
      <c r="O1466" s="431">
        <v>4.75</v>
      </c>
      <c r="P1466" s="431">
        <v>4.33</v>
      </c>
      <c r="Q1466" s="179">
        <f t="shared" si="43"/>
        <v>5.333333333333333</v>
      </c>
      <c r="R1466" s="179" t="s">
        <v>994</v>
      </c>
    </row>
    <row r="1467" spans="1:18" x14ac:dyDescent="0.15">
      <c r="A1467" s="179" t="str">
        <f t="shared" si="42"/>
        <v>Puebla_Flat Surface_247.5</v>
      </c>
      <c r="B1467" s="501" t="s">
        <v>655</v>
      </c>
      <c r="C1467" s="429">
        <v>0</v>
      </c>
      <c r="D1467" s="429">
        <v>247.5</v>
      </c>
      <c r="E1467" s="431">
        <v>4.6900000000000004</v>
      </c>
      <c r="F1467" s="431">
        <v>5.45</v>
      </c>
      <c r="G1467" s="431">
        <v>6.13</v>
      </c>
      <c r="H1467" s="431">
        <v>6.1</v>
      </c>
      <c r="I1467" s="431">
        <v>6.07</v>
      </c>
      <c r="J1467" s="431">
        <v>5.61</v>
      </c>
      <c r="K1467" s="431">
        <v>5.64</v>
      </c>
      <c r="L1467" s="431">
        <v>5.46</v>
      </c>
      <c r="M1467" s="431">
        <v>4.88</v>
      </c>
      <c r="N1467" s="431">
        <v>4.8899999999999997</v>
      </c>
      <c r="O1467" s="431">
        <v>4.75</v>
      </c>
      <c r="P1467" s="431">
        <v>4.33</v>
      </c>
      <c r="Q1467" s="179">
        <f t="shared" si="43"/>
        <v>5.333333333333333</v>
      </c>
      <c r="R1467" s="179" t="s">
        <v>994</v>
      </c>
    </row>
    <row r="1468" spans="1:18" x14ac:dyDescent="0.15">
      <c r="A1468" s="179" t="str">
        <f t="shared" si="42"/>
        <v>Puebla_Flat Surface_270</v>
      </c>
      <c r="B1468" s="501" t="s">
        <v>655</v>
      </c>
      <c r="C1468" s="429">
        <v>0</v>
      </c>
      <c r="D1468" s="429">
        <v>270</v>
      </c>
      <c r="E1468" s="431">
        <v>4.6900000000000004</v>
      </c>
      <c r="F1468" s="431">
        <v>5.45</v>
      </c>
      <c r="G1468" s="431">
        <v>6.13</v>
      </c>
      <c r="H1468" s="431">
        <v>6.1</v>
      </c>
      <c r="I1468" s="431">
        <v>6.07</v>
      </c>
      <c r="J1468" s="431">
        <v>5.61</v>
      </c>
      <c r="K1468" s="431">
        <v>5.64</v>
      </c>
      <c r="L1468" s="431">
        <v>5.46</v>
      </c>
      <c r="M1468" s="431">
        <v>4.88</v>
      </c>
      <c r="N1468" s="431">
        <v>4.8899999999999997</v>
      </c>
      <c r="O1468" s="431">
        <v>4.75</v>
      </c>
      <c r="P1468" s="431">
        <v>4.33</v>
      </c>
      <c r="Q1468" s="179">
        <f t="shared" si="43"/>
        <v>5.333333333333333</v>
      </c>
      <c r="R1468" s="179" t="s">
        <v>994</v>
      </c>
    </row>
    <row r="1469" spans="1:18" x14ac:dyDescent="0.15">
      <c r="A1469" s="179" t="str">
        <f t="shared" si="42"/>
        <v>Puebla_Optimal Summer_90</v>
      </c>
      <c r="B1469" s="501" t="s">
        <v>655</v>
      </c>
      <c r="C1469" s="429">
        <v>4</v>
      </c>
      <c r="D1469" s="429">
        <v>90</v>
      </c>
      <c r="E1469" s="431">
        <v>3.95</v>
      </c>
      <c r="F1469" s="431">
        <v>4.5199999999999996</v>
      </c>
      <c r="G1469" s="431">
        <v>4.99</v>
      </c>
      <c r="H1469" s="431">
        <v>4.9000000000000004</v>
      </c>
      <c r="I1469" s="431">
        <v>4.82</v>
      </c>
      <c r="J1469" s="431">
        <v>4.5199999999999996</v>
      </c>
      <c r="K1469" s="431">
        <v>4.54</v>
      </c>
      <c r="L1469" s="431">
        <v>4.3600000000000003</v>
      </c>
      <c r="M1469" s="431">
        <v>3.94</v>
      </c>
      <c r="N1469" s="431">
        <v>4.0199999999999996</v>
      </c>
      <c r="O1469" s="431">
        <v>3.98</v>
      </c>
      <c r="P1469" s="431">
        <v>3.66</v>
      </c>
      <c r="Q1469" s="179">
        <f t="shared" si="43"/>
        <v>4.3500000000000005</v>
      </c>
      <c r="R1469" s="179" t="s">
        <v>958</v>
      </c>
    </row>
    <row r="1470" spans="1:18" x14ac:dyDescent="0.15">
      <c r="A1470" s="179" t="str">
        <f t="shared" si="42"/>
        <v>Puebla_Optimal Summer_112.5</v>
      </c>
      <c r="B1470" s="501" t="s">
        <v>655</v>
      </c>
      <c r="C1470" s="429">
        <v>4</v>
      </c>
      <c r="D1470" s="429">
        <v>112.5</v>
      </c>
      <c r="E1470" s="431">
        <v>4.32</v>
      </c>
      <c r="F1470" s="431">
        <v>4.9400000000000004</v>
      </c>
      <c r="G1470" s="431">
        <v>5.46</v>
      </c>
      <c r="H1470" s="431">
        <v>5.36</v>
      </c>
      <c r="I1470" s="431">
        <v>5.28</v>
      </c>
      <c r="J1470" s="431">
        <v>4.9400000000000004</v>
      </c>
      <c r="K1470" s="431">
        <v>4.96</v>
      </c>
      <c r="L1470" s="431">
        <v>4.7699999999999996</v>
      </c>
      <c r="M1470" s="431">
        <v>4.3099999999999996</v>
      </c>
      <c r="N1470" s="431">
        <v>4.3899999999999997</v>
      </c>
      <c r="O1470" s="431">
        <v>4.3600000000000003</v>
      </c>
      <c r="P1470" s="431">
        <v>4</v>
      </c>
      <c r="Q1470" s="179">
        <f t="shared" si="43"/>
        <v>4.7575000000000003</v>
      </c>
      <c r="R1470" s="179" t="s">
        <v>958</v>
      </c>
    </row>
    <row r="1471" spans="1:18" x14ac:dyDescent="0.15">
      <c r="A1471" s="179" t="str">
        <f t="shared" si="42"/>
        <v>Puebla_Optimal Summer_135</v>
      </c>
      <c r="B1471" s="501" t="s">
        <v>655</v>
      </c>
      <c r="C1471" s="429">
        <v>4</v>
      </c>
      <c r="D1471" s="429">
        <v>135</v>
      </c>
      <c r="E1471" s="431">
        <v>4.6900000000000004</v>
      </c>
      <c r="F1471" s="431">
        <v>5.37</v>
      </c>
      <c r="G1471" s="431">
        <v>5.93</v>
      </c>
      <c r="H1471" s="431">
        <v>5.81</v>
      </c>
      <c r="I1471" s="431">
        <v>5.73</v>
      </c>
      <c r="J1471" s="431">
        <v>5.3</v>
      </c>
      <c r="K1471" s="431">
        <v>5.39</v>
      </c>
      <c r="L1471" s="431">
        <v>5.18</v>
      </c>
      <c r="M1471" s="431">
        <v>4.68</v>
      </c>
      <c r="N1471" s="431">
        <v>4.7699999999999996</v>
      </c>
      <c r="O1471" s="431">
        <v>4.7300000000000004</v>
      </c>
      <c r="P1471" s="431">
        <v>4.34</v>
      </c>
      <c r="Q1471" s="179">
        <f t="shared" si="43"/>
        <v>5.16</v>
      </c>
      <c r="R1471" s="179" t="s">
        <v>958</v>
      </c>
    </row>
    <row r="1472" spans="1:18" x14ac:dyDescent="0.15">
      <c r="A1472" s="179" t="str">
        <f t="shared" si="42"/>
        <v>Puebla_Optimal Summer_157.5</v>
      </c>
      <c r="B1472" s="501" t="s">
        <v>655</v>
      </c>
      <c r="C1472" s="429">
        <v>4</v>
      </c>
      <c r="D1472" s="429">
        <v>157.5</v>
      </c>
      <c r="E1472" s="431">
        <v>4.82</v>
      </c>
      <c r="F1472" s="431">
        <v>5.51</v>
      </c>
      <c r="G1472" s="431">
        <v>6.08</v>
      </c>
      <c r="H1472" s="431">
        <v>5.97</v>
      </c>
      <c r="I1472" s="431">
        <v>5.88</v>
      </c>
      <c r="J1472" s="431">
        <v>5.51</v>
      </c>
      <c r="K1472" s="431">
        <v>5.53</v>
      </c>
      <c r="L1472" s="431">
        <v>5.31</v>
      </c>
      <c r="M1472" s="431">
        <v>4.8099999999999996</v>
      </c>
      <c r="N1472" s="431">
        <v>4.8899999999999997</v>
      </c>
      <c r="O1472" s="431">
        <v>4.8600000000000003</v>
      </c>
      <c r="P1472" s="431">
        <v>4.46</v>
      </c>
      <c r="Q1472" s="179">
        <f t="shared" si="43"/>
        <v>5.3025000000000002</v>
      </c>
      <c r="R1472" s="179" t="s">
        <v>958</v>
      </c>
    </row>
    <row r="1473" spans="1:18" x14ac:dyDescent="0.15">
      <c r="A1473" s="179" t="str">
        <f t="shared" si="42"/>
        <v>Puebla_Optimal Summer_180</v>
      </c>
      <c r="B1473" s="501" t="s">
        <v>655</v>
      </c>
      <c r="C1473" s="429">
        <v>4</v>
      </c>
      <c r="D1473" s="429">
        <v>180</v>
      </c>
      <c r="E1473" s="431">
        <v>4.9400000000000004</v>
      </c>
      <c r="F1473" s="431">
        <v>5.65</v>
      </c>
      <c r="G1473" s="431">
        <v>6.24</v>
      </c>
      <c r="H1473" s="431">
        <v>6.12</v>
      </c>
      <c r="I1473" s="431">
        <v>6.03</v>
      </c>
      <c r="J1473" s="431">
        <v>5.65</v>
      </c>
      <c r="K1473" s="431">
        <v>5.67</v>
      </c>
      <c r="L1473" s="431">
        <v>5.45</v>
      </c>
      <c r="M1473" s="431">
        <v>4.93</v>
      </c>
      <c r="N1473" s="431">
        <v>5.0199999999999996</v>
      </c>
      <c r="O1473" s="431">
        <v>4.9800000000000004</v>
      </c>
      <c r="P1473" s="431">
        <v>4.57</v>
      </c>
      <c r="Q1473" s="179">
        <f t="shared" si="43"/>
        <v>5.4375</v>
      </c>
      <c r="R1473" s="179" t="s">
        <v>958</v>
      </c>
    </row>
    <row r="1474" spans="1:18" x14ac:dyDescent="0.15">
      <c r="A1474" s="179" t="str">
        <f t="shared" ref="A1474:A1537" si="44">B1474&amp;"_"&amp;R1474&amp;"_"&amp;D1474</f>
        <v>Puebla_Optimal Summer_202.5</v>
      </c>
      <c r="B1474" s="501" t="s">
        <v>655</v>
      </c>
      <c r="C1474" s="429">
        <v>4</v>
      </c>
      <c r="D1474" s="429">
        <v>202.5</v>
      </c>
      <c r="E1474" s="431">
        <v>4.82</v>
      </c>
      <c r="F1474" s="431">
        <v>5.51</v>
      </c>
      <c r="G1474" s="431">
        <v>6.08</v>
      </c>
      <c r="H1474" s="431">
        <v>5.97</v>
      </c>
      <c r="I1474" s="431">
        <v>5.88</v>
      </c>
      <c r="J1474" s="431">
        <v>5.51</v>
      </c>
      <c r="K1474" s="431">
        <v>5.53</v>
      </c>
      <c r="L1474" s="431">
        <v>5.31</v>
      </c>
      <c r="M1474" s="431">
        <v>4.8099999999999996</v>
      </c>
      <c r="N1474" s="431">
        <v>4.8899999999999997</v>
      </c>
      <c r="O1474" s="431">
        <v>4.8600000000000003</v>
      </c>
      <c r="P1474" s="431">
        <v>4.46</v>
      </c>
      <c r="Q1474" s="179">
        <f t="shared" ref="Q1474:Q1537" si="45">AVERAGE(E1474:P1474)</f>
        <v>5.3025000000000002</v>
      </c>
      <c r="R1474" s="179" t="s">
        <v>958</v>
      </c>
    </row>
    <row r="1475" spans="1:18" x14ac:dyDescent="0.15">
      <c r="A1475" s="179" t="str">
        <f t="shared" si="44"/>
        <v>Puebla_Optimal Summer_225</v>
      </c>
      <c r="B1475" s="501" t="s">
        <v>655</v>
      </c>
      <c r="C1475" s="429">
        <v>4</v>
      </c>
      <c r="D1475" s="429">
        <v>225</v>
      </c>
      <c r="E1475" s="431">
        <v>4.6900000000000004</v>
      </c>
      <c r="F1475" s="431">
        <v>5.37</v>
      </c>
      <c r="G1475" s="431">
        <v>5.93</v>
      </c>
      <c r="H1475" s="431">
        <v>5.81</v>
      </c>
      <c r="I1475" s="431">
        <v>5.73</v>
      </c>
      <c r="J1475" s="431">
        <v>5.3</v>
      </c>
      <c r="K1475" s="431">
        <v>5.39</v>
      </c>
      <c r="L1475" s="431">
        <v>5.18</v>
      </c>
      <c r="M1475" s="431">
        <v>4.68</v>
      </c>
      <c r="N1475" s="431">
        <v>4.7699999999999996</v>
      </c>
      <c r="O1475" s="431">
        <v>4.7300000000000004</v>
      </c>
      <c r="P1475" s="431">
        <v>4.34</v>
      </c>
      <c r="Q1475" s="179">
        <f t="shared" si="45"/>
        <v>5.16</v>
      </c>
      <c r="R1475" s="179" t="s">
        <v>958</v>
      </c>
    </row>
    <row r="1476" spans="1:18" x14ac:dyDescent="0.15">
      <c r="A1476" s="179" t="str">
        <f t="shared" si="44"/>
        <v>Puebla_Optimal Summer_247.5</v>
      </c>
      <c r="B1476" s="501" t="s">
        <v>655</v>
      </c>
      <c r="C1476" s="429">
        <v>4</v>
      </c>
      <c r="D1476" s="429">
        <v>247.5</v>
      </c>
      <c r="E1476" s="431">
        <v>4.32</v>
      </c>
      <c r="F1476" s="431">
        <v>4.9400000000000004</v>
      </c>
      <c r="G1476" s="431">
        <v>5.46</v>
      </c>
      <c r="H1476" s="431">
        <v>5.36</v>
      </c>
      <c r="I1476" s="431">
        <v>5.28</v>
      </c>
      <c r="J1476" s="431">
        <v>4.9400000000000004</v>
      </c>
      <c r="K1476" s="431">
        <v>4.96</v>
      </c>
      <c r="L1476" s="431">
        <v>4.7699999999999996</v>
      </c>
      <c r="M1476" s="431">
        <v>4.3099999999999996</v>
      </c>
      <c r="N1476" s="431">
        <v>4.3899999999999997</v>
      </c>
      <c r="O1476" s="431">
        <v>4.3600000000000003</v>
      </c>
      <c r="P1476" s="431">
        <v>4</v>
      </c>
      <c r="Q1476" s="179">
        <f t="shared" si="45"/>
        <v>4.7575000000000003</v>
      </c>
      <c r="R1476" s="179" t="s">
        <v>958</v>
      </c>
    </row>
    <row r="1477" spans="1:18" x14ac:dyDescent="0.15">
      <c r="A1477" s="179" t="str">
        <f t="shared" si="44"/>
        <v>Puebla_Optimal Summer_270</v>
      </c>
      <c r="B1477" s="501" t="s">
        <v>655</v>
      </c>
      <c r="C1477" s="429">
        <v>4</v>
      </c>
      <c r="D1477" s="429">
        <v>270</v>
      </c>
      <c r="E1477" s="431">
        <v>3.95</v>
      </c>
      <c r="F1477" s="431">
        <v>4.5199999999999996</v>
      </c>
      <c r="G1477" s="431">
        <v>4.99</v>
      </c>
      <c r="H1477" s="431">
        <v>4.9000000000000004</v>
      </c>
      <c r="I1477" s="431">
        <v>4.82</v>
      </c>
      <c r="J1477" s="431">
        <v>4.5199999999999996</v>
      </c>
      <c r="K1477" s="431">
        <v>4.54</v>
      </c>
      <c r="L1477" s="431">
        <v>4.3600000000000003</v>
      </c>
      <c r="M1477" s="431">
        <v>3.94</v>
      </c>
      <c r="N1477" s="431">
        <v>4.0199999999999996</v>
      </c>
      <c r="O1477" s="431">
        <v>3.98</v>
      </c>
      <c r="P1477" s="431">
        <v>3.66</v>
      </c>
      <c r="Q1477" s="179">
        <f t="shared" si="45"/>
        <v>4.3500000000000005</v>
      </c>
      <c r="R1477" s="179" t="s">
        <v>958</v>
      </c>
    </row>
    <row r="1478" spans="1:18" x14ac:dyDescent="0.15">
      <c r="A1478" s="179" t="str">
        <f t="shared" si="44"/>
        <v>Puebla_Optimal Year Round_90</v>
      </c>
      <c r="B1478" s="501" t="s">
        <v>655</v>
      </c>
      <c r="C1478" s="429">
        <v>19</v>
      </c>
      <c r="D1478" s="429">
        <v>90</v>
      </c>
      <c r="E1478" s="431">
        <v>4.55</v>
      </c>
      <c r="F1478" s="431">
        <v>4.96</v>
      </c>
      <c r="G1478" s="431">
        <v>5.18</v>
      </c>
      <c r="H1478" s="431">
        <v>4.8</v>
      </c>
      <c r="I1478" s="431">
        <v>4.54</v>
      </c>
      <c r="J1478" s="431">
        <v>4.5</v>
      </c>
      <c r="K1478" s="431">
        <v>4.5</v>
      </c>
      <c r="L1478" s="431">
        <v>4.22</v>
      </c>
      <c r="M1478" s="431">
        <v>3.97</v>
      </c>
      <c r="N1478" s="431">
        <v>4.2699999999999996</v>
      </c>
      <c r="O1478" s="431">
        <v>4.51</v>
      </c>
      <c r="P1478" s="431">
        <v>4.22</v>
      </c>
      <c r="Q1478" s="179">
        <f t="shared" si="45"/>
        <v>4.5183333333333326</v>
      </c>
      <c r="R1478" s="179" t="s">
        <v>993</v>
      </c>
    </row>
    <row r="1479" spans="1:18" x14ac:dyDescent="0.15">
      <c r="A1479" s="179" t="str">
        <f t="shared" si="44"/>
        <v>Puebla_Optimal Year Round_112.5</v>
      </c>
      <c r="B1479" s="501" t="s">
        <v>655</v>
      </c>
      <c r="C1479" s="429">
        <v>19</v>
      </c>
      <c r="D1479" s="429">
        <v>112.5</v>
      </c>
      <c r="E1479" s="431">
        <v>4.9800000000000004</v>
      </c>
      <c r="F1479" s="431">
        <v>5.42</v>
      </c>
      <c r="G1479" s="431">
        <v>5.66</v>
      </c>
      <c r="H1479" s="431">
        <v>5.25</v>
      </c>
      <c r="I1479" s="431">
        <v>4.97</v>
      </c>
      <c r="J1479" s="431">
        <v>4.93</v>
      </c>
      <c r="K1479" s="431">
        <v>4.93</v>
      </c>
      <c r="L1479" s="431">
        <v>4.6100000000000003</v>
      </c>
      <c r="M1479" s="431">
        <v>4.34</v>
      </c>
      <c r="N1479" s="431">
        <v>4.67</v>
      </c>
      <c r="O1479" s="431">
        <v>4.9400000000000004</v>
      </c>
      <c r="P1479" s="431">
        <v>4.6100000000000003</v>
      </c>
      <c r="Q1479" s="179">
        <f t="shared" si="45"/>
        <v>4.9424999999999999</v>
      </c>
      <c r="R1479" s="179" t="s">
        <v>993</v>
      </c>
    </row>
    <row r="1480" spans="1:18" x14ac:dyDescent="0.15">
      <c r="A1480" s="179" t="str">
        <f t="shared" si="44"/>
        <v>Puebla_Optimal Year Round_135</v>
      </c>
      <c r="B1480" s="501" t="s">
        <v>655</v>
      </c>
      <c r="C1480" s="429">
        <v>19</v>
      </c>
      <c r="D1480" s="429">
        <v>135</v>
      </c>
      <c r="E1480" s="431">
        <v>5.41</v>
      </c>
      <c r="F1480" s="431">
        <v>5.89</v>
      </c>
      <c r="G1480" s="431">
        <v>6.15</v>
      </c>
      <c r="H1480" s="431">
        <v>5.7</v>
      </c>
      <c r="I1480" s="431">
        <v>5.4</v>
      </c>
      <c r="J1480" s="431">
        <v>5.35</v>
      </c>
      <c r="K1480" s="431">
        <v>5.35</v>
      </c>
      <c r="L1480" s="431">
        <v>5.01</v>
      </c>
      <c r="M1480" s="431">
        <v>4.71</v>
      </c>
      <c r="N1480" s="431">
        <v>5.07</v>
      </c>
      <c r="O1480" s="431">
        <v>5.36</v>
      </c>
      <c r="P1480" s="431">
        <v>5.01</v>
      </c>
      <c r="Q1480" s="179">
        <f t="shared" si="45"/>
        <v>5.3675000000000006</v>
      </c>
      <c r="R1480" s="179" t="s">
        <v>993</v>
      </c>
    </row>
    <row r="1481" spans="1:18" x14ac:dyDescent="0.15">
      <c r="A1481" s="179" t="str">
        <f t="shared" si="44"/>
        <v>Puebla_Optimal Year Round_157.5</v>
      </c>
      <c r="B1481" s="501" t="s">
        <v>655</v>
      </c>
      <c r="C1481" s="429">
        <v>19</v>
      </c>
      <c r="D1481" s="429">
        <v>157.5</v>
      </c>
      <c r="E1481" s="431">
        <v>5.55</v>
      </c>
      <c r="F1481" s="431">
        <v>6.04</v>
      </c>
      <c r="G1481" s="431">
        <v>6.31</v>
      </c>
      <c r="H1481" s="431">
        <v>5.85</v>
      </c>
      <c r="I1481" s="431">
        <v>5.54</v>
      </c>
      <c r="J1481" s="431">
        <v>5.49</v>
      </c>
      <c r="K1481" s="431">
        <v>5.49</v>
      </c>
      <c r="L1481" s="431">
        <v>5.14</v>
      </c>
      <c r="M1481" s="431">
        <v>4.84</v>
      </c>
      <c r="N1481" s="431">
        <v>5.21</v>
      </c>
      <c r="O1481" s="431">
        <v>5.5</v>
      </c>
      <c r="P1481" s="431">
        <v>5.14</v>
      </c>
      <c r="Q1481" s="179">
        <f t="shared" si="45"/>
        <v>5.5083333333333329</v>
      </c>
      <c r="R1481" s="179" t="s">
        <v>993</v>
      </c>
    </row>
    <row r="1482" spans="1:18" x14ac:dyDescent="0.15">
      <c r="A1482" s="179" t="str">
        <f t="shared" si="44"/>
        <v>Puebla_Optimal Year Round_180</v>
      </c>
      <c r="B1482" s="501" t="s">
        <v>655</v>
      </c>
      <c r="C1482" s="429">
        <v>19</v>
      </c>
      <c r="D1482" s="429">
        <v>180</v>
      </c>
      <c r="E1482" s="431">
        <v>5.69</v>
      </c>
      <c r="F1482" s="431">
        <v>6.2</v>
      </c>
      <c r="G1482" s="431">
        <v>6.47</v>
      </c>
      <c r="H1482" s="431">
        <v>6</v>
      </c>
      <c r="I1482" s="431">
        <v>5.68</v>
      </c>
      <c r="J1482" s="431">
        <v>5.63</v>
      </c>
      <c r="K1482" s="431">
        <v>5.63</v>
      </c>
      <c r="L1482" s="431">
        <v>5.27</v>
      </c>
      <c r="M1482" s="431">
        <v>4.96</v>
      </c>
      <c r="N1482" s="431">
        <v>5.34</v>
      </c>
      <c r="O1482" s="431">
        <v>5.64</v>
      </c>
      <c r="P1482" s="431">
        <v>5.27</v>
      </c>
      <c r="Q1482" s="179">
        <f t="shared" si="45"/>
        <v>5.6483333333333334</v>
      </c>
      <c r="R1482" s="179" t="s">
        <v>993</v>
      </c>
    </row>
    <row r="1483" spans="1:18" x14ac:dyDescent="0.15">
      <c r="A1483" s="179" t="str">
        <f t="shared" si="44"/>
        <v>Puebla_Optimal Year Round_202.5</v>
      </c>
      <c r="B1483" s="501" t="s">
        <v>655</v>
      </c>
      <c r="C1483" s="429">
        <v>19</v>
      </c>
      <c r="D1483" s="429">
        <v>202.5</v>
      </c>
      <c r="E1483" s="431">
        <v>5.55</v>
      </c>
      <c r="F1483" s="431">
        <v>6.04</v>
      </c>
      <c r="G1483" s="431">
        <v>6.31</v>
      </c>
      <c r="H1483" s="431">
        <v>5.85</v>
      </c>
      <c r="I1483" s="431">
        <v>5.54</v>
      </c>
      <c r="J1483" s="431">
        <v>5.49</v>
      </c>
      <c r="K1483" s="431">
        <v>5.49</v>
      </c>
      <c r="L1483" s="431">
        <v>5.14</v>
      </c>
      <c r="M1483" s="431">
        <v>4.84</v>
      </c>
      <c r="N1483" s="431">
        <v>5.21</v>
      </c>
      <c r="O1483" s="431">
        <v>5.5</v>
      </c>
      <c r="P1483" s="431">
        <v>5.14</v>
      </c>
      <c r="Q1483" s="179">
        <f t="shared" si="45"/>
        <v>5.5083333333333329</v>
      </c>
      <c r="R1483" s="179" t="s">
        <v>993</v>
      </c>
    </row>
    <row r="1484" spans="1:18" x14ac:dyDescent="0.15">
      <c r="A1484" s="179" t="str">
        <f t="shared" si="44"/>
        <v>Puebla_Optimal Year Round_225</v>
      </c>
      <c r="B1484" s="501" t="s">
        <v>655</v>
      </c>
      <c r="C1484" s="429">
        <v>19</v>
      </c>
      <c r="D1484" s="429">
        <v>225</v>
      </c>
      <c r="E1484" s="431">
        <v>5.41</v>
      </c>
      <c r="F1484" s="431">
        <v>5.89</v>
      </c>
      <c r="G1484" s="431">
        <v>6.15</v>
      </c>
      <c r="H1484" s="431">
        <v>5.7</v>
      </c>
      <c r="I1484" s="431">
        <v>5.4</v>
      </c>
      <c r="J1484" s="431">
        <v>5.35</v>
      </c>
      <c r="K1484" s="431">
        <v>5.35</v>
      </c>
      <c r="L1484" s="431">
        <v>5.01</v>
      </c>
      <c r="M1484" s="431">
        <v>4.71</v>
      </c>
      <c r="N1484" s="431">
        <v>5.07</v>
      </c>
      <c r="O1484" s="431">
        <v>5.36</v>
      </c>
      <c r="P1484" s="431">
        <v>5.01</v>
      </c>
      <c r="Q1484" s="179">
        <f t="shared" si="45"/>
        <v>5.3675000000000006</v>
      </c>
      <c r="R1484" s="179" t="s">
        <v>993</v>
      </c>
    </row>
    <row r="1485" spans="1:18" x14ac:dyDescent="0.15">
      <c r="A1485" s="179" t="str">
        <f t="shared" si="44"/>
        <v>Puebla_Optimal Year Round_247.5</v>
      </c>
      <c r="B1485" s="501" t="s">
        <v>655</v>
      </c>
      <c r="C1485" s="429">
        <v>19</v>
      </c>
      <c r="D1485" s="429">
        <v>247.5</v>
      </c>
      <c r="E1485" s="431">
        <v>4.9800000000000004</v>
      </c>
      <c r="F1485" s="431">
        <v>5.42</v>
      </c>
      <c r="G1485" s="431">
        <v>5.66</v>
      </c>
      <c r="H1485" s="431">
        <v>5.25</v>
      </c>
      <c r="I1485" s="431">
        <v>4.97</v>
      </c>
      <c r="J1485" s="431">
        <v>4.93</v>
      </c>
      <c r="K1485" s="431">
        <v>4.93</v>
      </c>
      <c r="L1485" s="431">
        <v>4.6100000000000003</v>
      </c>
      <c r="M1485" s="431">
        <v>4.34</v>
      </c>
      <c r="N1485" s="431">
        <v>4.67</v>
      </c>
      <c r="O1485" s="431">
        <v>4.9400000000000004</v>
      </c>
      <c r="P1485" s="431">
        <v>4.6100000000000003</v>
      </c>
      <c r="Q1485" s="179">
        <f t="shared" si="45"/>
        <v>4.9424999999999999</v>
      </c>
      <c r="R1485" s="179" t="s">
        <v>993</v>
      </c>
    </row>
    <row r="1486" spans="1:18" x14ac:dyDescent="0.15">
      <c r="A1486" s="179" t="str">
        <f t="shared" si="44"/>
        <v>Puebla_Optimal Year Round_270</v>
      </c>
      <c r="B1486" s="501" t="s">
        <v>655</v>
      </c>
      <c r="C1486" s="429">
        <v>19</v>
      </c>
      <c r="D1486" s="429">
        <v>270</v>
      </c>
      <c r="E1486" s="431">
        <v>4.55</v>
      </c>
      <c r="F1486" s="431">
        <v>4.96</v>
      </c>
      <c r="G1486" s="431">
        <v>5.18</v>
      </c>
      <c r="H1486" s="431">
        <v>4.8</v>
      </c>
      <c r="I1486" s="431">
        <v>4.54</v>
      </c>
      <c r="J1486" s="431">
        <v>4.5</v>
      </c>
      <c r="K1486" s="431">
        <v>4.5</v>
      </c>
      <c r="L1486" s="431">
        <v>4.22</v>
      </c>
      <c r="M1486" s="431">
        <v>3.97</v>
      </c>
      <c r="N1486" s="431">
        <v>4.2699999999999996</v>
      </c>
      <c r="O1486" s="431">
        <v>4.51</v>
      </c>
      <c r="P1486" s="431">
        <v>4.22</v>
      </c>
      <c r="Q1486" s="179">
        <f t="shared" si="45"/>
        <v>4.5183333333333326</v>
      </c>
      <c r="R1486" s="179" t="s">
        <v>993</v>
      </c>
    </row>
    <row r="1487" spans="1:18" x14ac:dyDescent="0.15">
      <c r="A1487" s="179" t="str">
        <f t="shared" si="44"/>
        <v>Puebla de Zaragoza_Flat Surface_90</v>
      </c>
      <c r="B1487" s="501" t="s">
        <v>1007</v>
      </c>
      <c r="C1487" s="429">
        <v>0</v>
      </c>
      <c r="D1487" s="429">
        <v>90</v>
      </c>
      <c r="E1487" s="431">
        <v>4.6900000000000004</v>
      </c>
      <c r="F1487" s="431">
        <v>5.45</v>
      </c>
      <c r="G1487" s="431">
        <v>6.13</v>
      </c>
      <c r="H1487" s="431">
        <v>6.1</v>
      </c>
      <c r="I1487" s="431">
        <v>6.07</v>
      </c>
      <c r="J1487" s="431">
        <v>5.61</v>
      </c>
      <c r="K1487" s="431">
        <v>5.64</v>
      </c>
      <c r="L1487" s="431">
        <v>5.46</v>
      </c>
      <c r="M1487" s="431">
        <v>4.88</v>
      </c>
      <c r="N1487" s="431">
        <v>4.8899999999999997</v>
      </c>
      <c r="O1487" s="431">
        <v>4.75</v>
      </c>
      <c r="P1487" s="431">
        <v>4.33</v>
      </c>
      <c r="Q1487" s="179">
        <f t="shared" si="45"/>
        <v>5.333333333333333</v>
      </c>
      <c r="R1487" s="179" t="s">
        <v>994</v>
      </c>
    </row>
    <row r="1488" spans="1:18" x14ac:dyDescent="0.15">
      <c r="A1488" s="179" t="str">
        <f t="shared" si="44"/>
        <v>Puebla de Zaragoza_Flat Surface_112.5</v>
      </c>
      <c r="B1488" s="501" t="s">
        <v>1007</v>
      </c>
      <c r="C1488" s="429">
        <v>0</v>
      </c>
      <c r="D1488" s="429">
        <v>112.5</v>
      </c>
      <c r="E1488" s="431">
        <v>4.6900000000000004</v>
      </c>
      <c r="F1488" s="431">
        <v>5.45</v>
      </c>
      <c r="G1488" s="431">
        <v>6.13</v>
      </c>
      <c r="H1488" s="431">
        <v>6.1</v>
      </c>
      <c r="I1488" s="431">
        <v>6.07</v>
      </c>
      <c r="J1488" s="431">
        <v>5.61</v>
      </c>
      <c r="K1488" s="431">
        <v>5.64</v>
      </c>
      <c r="L1488" s="431">
        <v>5.46</v>
      </c>
      <c r="M1488" s="431">
        <v>4.88</v>
      </c>
      <c r="N1488" s="431">
        <v>4.8899999999999997</v>
      </c>
      <c r="O1488" s="431">
        <v>4.75</v>
      </c>
      <c r="P1488" s="431">
        <v>4.33</v>
      </c>
      <c r="Q1488" s="179">
        <f t="shared" si="45"/>
        <v>5.333333333333333</v>
      </c>
      <c r="R1488" s="179" t="s">
        <v>994</v>
      </c>
    </row>
    <row r="1489" spans="1:18" x14ac:dyDescent="0.15">
      <c r="A1489" s="179" t="str">
        <f t="shared" si="44"/>
        <v>Puebla de Zaragoza_Flat Surface_135</v>
      </c>
      <c r="B1489" s="501" t="s">
        <v>1007</v>
      </c>
      <c r="C1489" s="429">
        <v>0</v>
      </c>
      <c r="D1489" s="429">
        <v>135</v>
      </c>
      <c r="E1489" s="431">
        <v>4.6900000000000004</v>
      </c>
      <c r="F1489" s="431">
        <v>5.45</v>
      </c>
      <c r="G1489" s="431">
        <v>6.13</v>
      </c>
      <c r="H1489" s="431">
        <v>6.1</v>
      </c>
      <c r="I1489" s="431">
        <v>6.07</v>
      </c>
      <c r="J1489" s="431">
        <v>5.61</v>
      </c>
      <c r="K1489" s="431">
        <v>5.64</v>
      </c>
      <c r="L1489" s="431">
        <v>5.46</v>
      </c>
      <c r="M1489" s="431">
        <v>4.88</v>
      </c>
      <c r="N1489" s="431">
        <v>4.8899999999999997</v>
      </c>
      <c r="O1489" s="431">
        <v>4.75</v>
      </c>
      <c r="P1489" s="431">
        <v>4.33</v>
      </c>
      <c r="Q1489" s="179">
        <f t="shared" si="45"/>
        <v>5.333333333333333</v>
      </c>
      <c r="R1489" s="179" t="s">
        <v>994</v>
      </c>
    </row>
    <row r="1490" spans="1:18" x14ac:dyDescent="0.15">
      <c r="A1490" s="179" t="str">
        <f t="shared" si="44"/>
        <v>Puebla de Zaragoza_Flat Surface_157.5</v>
      </c>
      <c r="B1490" s="501" t="s">
        <v>1007</v>
      </c>
      <c r="C1490" s="429">
        <v>0</v>
      </c>
      <c r="D1490" s="429">
        <v>157.5</v>
      </c>
      <c r="E1490" s="431">
        <v>4.6900000000000004</v>
      </c>
      <c r="F1490" s="431">
        <v>5.45</v>
      </c>
      <c r="G1490" s="431">
        <v>6.13</v>
      </c>
      <c r="H1490" s="431">
        <v>6.1</v>
      </c>
      <c r="I1490" s="431">
        <v>6.07</v>
      </c>
      <c r="J1490" s="431">
        <v>5.61</v>
      </c>
      <c r="K1490" s="431">
        <v>5.64</v>
      </c>
      <c r="L1490" s="431">
        <v>5.46</v>
      </c>
      <c r="M1490" s="431">
        <v>4.88</v>
      </c>
      <c r="N1490" s="431">
        <v>4.8899999999999997</v>
      </c>
      <c r="O1490" s="431">
        <v>4.75</v>
      </c>
      <c r="P1490" s="431">
        <v>4.33</v>
      </c>
      <c r="Q1490" s="179">
        <f t="shared" si="45"/>
        <v>5.333333333333333</v>
      </c>
      <c r="R1490" s="179" t="s">
        <v>994</v>
      </c>
    </row>
    <row r="1491" spans="1:18" x14ac:dyDescent="0.15">
      <c r="A1491" s="179" t="str">
        <f t="shared" si="44"/>
        <v>Puebla de Zaragoza_Flat Surface_180</v>
      </c>
      <c r="B1491" s="501" t="s">
        <v>1007</v>
      </c>
      <c r="C1491" s="429">
        <v>0</v>
      </c>
      <c r="D1491" s="429">
        <v>180</v>
      </c>
      <c r="E1491" s="431">
        <v>4.6900000000000004</v>
      </c>
      <c r="F1491" s="431">
        <v>5.45</v>
      </c>
      <c r="G1491" s="431">
        <v>6.13</v>
      </c>
      <c r="H1491" s="431">
        <v>6.1</v>
      </c>
      <c r="I1491" s="431">
        <v>6.07</v>
      </c>
      <c r="J1491" s="431">
        <v>5.61</v>
      </c>
      <c r="K1491" s="431">
        <v>5.64</v>
      </c>
      <c r="L1491" s="431">
        <v>5.46</v>
      </c>
      <c r="M1491" s="431">
        <v>4.88</v>
      </c>
      <c r="N1491" s="431">
        <v>4.8899999999999997</v>
      </c>
      <c r="O1491" s="431">
        <v>4.75</v>
      </c>
      <c r="P1491" s="431">
        <v>4.33</v>
      </c>
      <c r="Q1491" s="179">
        <f t="shared" si="45"/>
        <v>5.333333333333333</v>
      </c>
      <c r="R1491" s="179" t="s">
        <v>994</v>
      </c>
    </row>
    <row r="1492" spans="1:18" x14ac:dyDescent="0.15">
      <c r="A1492" s="179" t="str">
        <f t="shared" si="44"/>
        <v>Puebla de Zaragoza_Flat Surface_202.5</v>
      </c>
      <c r="B1492" s="501" t="s">
        <v>1007</v>
      </c>
      <c r="C1492" s="429">
        <v>0</v>
      </c>
      <c r="D1492" s="429">
        <v>202.5</v>
      </c>
      <c r="E1492" s="431">
        <v>4.6900000000000004</v>
      </c>
      <c r="F1492" s="431">
        <v>5.45</v>
      </c>
      <c r="G1492" s="431">
        <v>6.13</v>
      </c>
      <c r="H1492" s="431">
        <v>6.1</v>
      </c>
      <c r="I1492" s="431">
        <v>6.07</v>
      </c>
      <c r="J1492" s="431">
        <v>5.61</v>
      </c>
      <c r="K1492" s="431">
        <v>5.64</v>
      </c>
      <c r="L1492" s="431">
        <v>5.46</v>
      </c>
      <c r="M1492" s="431">
        <v>4.88</v>
      </c>
      <c r="N1492" s="431">
        <v>4.8899999999999997</v>
      </c>
      <c r="O1492" s="431">
        <v>4.75</v>
      </c>
      <c r="P1492" s="431">
        <v>4.33</v>
      </c>
      <c r="Q1492" s="179">
        <f t="shared" si="45"/>
        <v>5.333333333333333</v>
      </c>
      <c r="R1492" s="179" t="s">
        <v>994</v>
      </c>
    </row>
    <row r="1493" spans="1:18" x14ac:dyDescent="0.15">
      <c r="A1493" s="179" t="str">
        <f t="shared" si="44"/>
        <v>Puebla de Zaragoza_Flat Surface_225</v>
      </c>
      <c r="B1493" s="501" t="s">
        <v>1007</v>
      </c>
      <c r="C1493" s="429">
        <v>0</v>
      </c>
      <c r="D1493" s="429">
        <v>225</v>
      </c>
      <c r="E1493" s="431">
        <v>4.6900000000000004</v>
      </c>
      <c r="F1493" s="431">
        <v>5.45</v>
      </c>
      <c r="G1493" s="431">
        <v>6.13</v>
      </c>
      <c r="H1493" s="431">
        <v>6.1</v>
      </c>
      <c r="I1493" s="431">
        <v>6.07</v>
      </c>
      <c r="J1493" s="431">
        <v>5.61</v>
      </c>
      <c r="K1493" s="431">
        <v>5.64</v>
      </c>
      <c r="L1493" s="431">
        <v>5.46</v>
      </c>
      <c r="M1493" s="431">
        <v>4.88</v>
      </c>
      <c r="N1493" s="431">
        <v>4.8899999999999997</v>
      </c>
      <c r="O1493" s="431">
        <v>4.75</v>
      </c>
      <c r="P1493" s="431">
        <v>4.33</v>
      </c>
      <c r="Q1493" s="179">
        <f t="shared" si="45"/>
        <v>5.333333333333333</v>
      </c>
      <c r="R1493" s="179" t="s">
        <v>994</v>
      </c>
    </row>
    <row r="1494" spans="1:18" x14ac:dyDescent="0.15">
      <c r="A1494" s="179" t="str">
        <f t="shared" si="44"/>
        <v>Puebla de Zaragoza_Flat Surface_247.5</v>
      </c>
      <c r="B1494" s="501" t="s">
        <v>1007</v>
      </c>
      <c r="C1494" s="429">
        <v>0</v>
      </c>
      <c r="D1494" s="429">
        <v>247.5</v>
      </c>
      <c r="E1494" s="431">
        <v>4.6900000000000004</v>
      </c>
      <c r="F1494" s="431">
        <v>5.45</v>
      </c>
      <c r="G1494" s="431">
        <v>6.13</v>
      </c>
      <c r="H1494" s="431">
        <v>6.1</v>
      </c>
      <c r="I1494" s="431">
        <v>6.07</v>
      </c>
      <c r="J1494" s="431">
        <v>5.61</v>
      </c>
      <c r="K1494" s="431">
        <v>5.64</v>
      </c>
      <c r="L1494" s="431">
        <v>5.46</v>
      </c>
      <c r="M1494" s="431">
        <v>4.88</v>
      </c>
      <c r="N1494" s="431">
        <v>4.8899999999999997</v>
      </c>
      <c r="O1494" s="431">
        <v>4.75</v>
      </c>
      <c r="P1494" s="431">
        <v>4.33</v>
      </c>
      <c r="Q1494" s="179">
        <f t="shared" si="45"/>
        <v>5.333333333333333</v>
      </c>
      <c r="R1494" s="179" t="s">
        <v>994</v>
      </c>
    </row>
    <row r="1495" spans="1:18" x14ac:dyDescent="0.15">
      <c r="A1495" s="179" t="str">
        <f t="shared" si="44"/>
        <v>Puebla de Zaragoza_Flat Surface_270</v>
      </c>
      <c r="B1495" s="501" t="s">
        <v>1007</v>
      </c>
      <c r="C1495" s="429">
        <v>0</v>
      </c>
      <c r="D1495" s="429">
        <v>270</v>
      </c>
      <c r="E1495" s="431">
        <v>4.6900000000000004</v>
      </c>
      <c r="F1495" s="431">
        <v>5.45</v>
      </c>
      <c r="G1495" s="431">
        <v>6.13</v>
      </c>
      <c r="H1495" s="431">
        <v>6.1</v>
      </c>
      <c r="I1495" s="431">
        <v>6.07</v>
      </c>
      <c r="J1495" s="431">
        <v>5.61</v>
      </c>
      <c r="K1495" s="431">
        <v>5.64</v>
      </c>
      <c r="L1495" s="431">
        <v>5.46</v>
      </c>
      <c r="M1495" s="431">
        <v>4.88</v>
      </c>
      <c r="N1495" s="431">
        <v>4.8899999999999997</v>
      </c>
      <c r="O1495" s="431">
        <v>4.75</v>
      </c>
      <c r="P1495" s="431">
        <v>4.33</v>
      </c>
      <c r="Q1495" s="179">
        <f t="shared" si="45"/>
        <v>5.333333333333333</v>
      </c>
      <c r="R1495" s="179" t="s">
        <v>994</v>
      </c>
    </row>
    <row r="1496" spans="1:18" x14ac:dyDescent="0.15">
      <c r="A1496" s="179" t="str">
        <f t="shared" si="44"/>
        <v>Puebla de Zaragoza_Optimal Summer_90</v>
      </c>
      <c r="B1496" s="501" t="s">
        <v>1007</v>
      </c>
      <c r="C1496" s="429">
        <v>4</v>
      </c>
      <c r="D1496" s="429">
        <v>90</v>
      </c>
      <c r="E1496" s="431">
        <v>3.95</v>
      </c>
      <c r="F1496" s="431">
        <v>4.5199999999999996</v>
      </c>
      <c r="G1496" s="431">
        <v>4.99</v>
      </c>
      <c r="H1496" s="431">
        <v>4.9000000000000004</v>
      </c>
      <c r="I1496" s="431">
        <v>4.82</v>
      </c>
      <c r="J1496" s="431">
        <v>4.5199999999999996</v>
      </c>
      <c r="K1496" s="431">
        <v>4.54</v>
      </c>
      <c r="L1496" s="431">
        <v>4.3600000000000003</v>
      </c>
      <c r="M1496" s="431">
        <v>3.94</v>
      </c>
      <c r="N1496" s="431">
        <v>4.0199999999999996</v>
      </c>
      <c r="O1496" s="431">
        <v>3.98</v>
      </c>
      <c r="P1496" s="431">
        <v>3.66</v>
      </c>
      <c r="Q1496" s="179">
        <f t="shared" si="45"/>
        <v>4.3500000000000005</v>
      </c>
      <c r="R1496" s="179" t="s">
        <v>958</v>
      </c>
    </row>
    <row r="1497" spans="1:18" x14ac:dyDescent="0.15">
      <c r="A1497" s="179" t="str">
        <f t="shared" si="44"/>
        <v>Puebla de Zaragoza_Optimal Summer_112.5</v>
      </c>
      <c r="B1497" s="501" t="s">
        <v>1007</v>
      </c>
      <c r="C1497" s="429">
        <v>4</v>
      </c>
      <c r="D1497" s="429">
        <v>112.5</v>
      </c>
      <c r="E1497" s="431">
        <v>4.32</v>
      </c>
      <c r="F1497" s="431">
        <v>4.9400000000000004</v>
      </c>
      <c r="G1497" s="431">
        <v>5.46</v>
      </c>
      <c r="H1497" s="431">
        <v>5.36</v>
      </c>
      <c r="I1497" s="431">
        <v>5.28</v>
      </c>
      <c r="J1497" s="431">
        <v>4.9400000000000004</v>
      </c>
      <c r="K1497" s="431">
        <v>4.96</v>
      </c>
      <c r="L1497" s="431">
        <v>4.7699999999999996</v>
      </c>
      <c r="M1497" s="431">
        <v>4.3099999999999996</v>
      </c>
      <c r="N1497" s="431">
        <v>4.3899999999999997</v>
      </c>
      <c r="O1497" s="431">
        <v>4.3600000000000003</v>
      </c>
      <c r="P1497" s="431">
        <v>4</v>
      </c>
      <c r="Q1497" s="179">
        <f t="shared" si="45"/>
        <v>4.7575000000000003</v>
      </c>
      <c r="R1497" s="179" t="s">
        <v>958</v>
      </c>
    </row>
    <row r="1498" spans="1:18" x14ac:dyDescent="0.15">
      <c r="A1498" s="179" t="str">
        <f t="shared" si="44"/>
        <v>Puebla de Zaragoza_Optimal Summer_135</v>
      </c>
      <c r="B1498" s="501" t="s">
        <v>1007</v>
      </c>
      <c r="C1498" s="429">
        <v>4</v>
      </c>
      <c r="D1498" s="429">
        <v>135</v>
      </c>
      <c r="E1498" s="431">
        <v>4.6900000000000004</v>
      </c>
      <c r="F1498" s="431">
        <v>5.37</v>
      </c>
      <c r="G1498" s="431">
        <v>5.93</v>
      </c>
      <c r="H1498" s="431">
        <v>5.81</v>
      </c>
      <c r="I1498" s="431">
        <v>5.73</v>
      </c>
      <c r="J1498" s="431">
        <v>5.37</v>
      </c>
      <c r="K1498" s="431">
        <v>5.39</v>
      </c>
      <c r="L1498" s="431">
        <v>5.18</v>
      </c>
      <c r="M1498" s="431">
        <v>4.68</v>
      </c>
      <c r="N1498" s="431">
        <v>4.7699999999999996</v>
      </c>
      <c r="O1498" s="431">
        <v>4.7300000000000004</v>
      </c>
      <c r="P1498" s="431">
        <v>4.34</v>
      </c>
      <c r="Q1498" s="179">
        <f t="shared" si="45"/>
        <v>5.1658333333333344</v>
      </c>
      <c r="R1498" s="179" t="s">
        <v>958</v>
      </c>
    </row>
    <row r="1499" spans="1:18" x14ac:dyDescent="0.15">
      <c r="A1499" s="179" t="str">
        <f t="shared" si="44"/>
        <v>Puebla de Zaragoza_Optimal Summer_157.5</v>
      </c>
      <c r="B1499" s="501" t="s">
        <v>1007</v>
      </c>
      <c r="C1499" s="429">
        <v>4</v>
      </c>
      <c r="D1499" s="429">
        <v>157.5</v>
      </c>
      <c r="E1499" s="431">
        <v>4.82</v>
      </c>
      <c r="F1499" s="431">
        <v>5.51</v>
      </c>
      <c r="G1499" s="431">
        <v>6.08</v>
      </c>
      <c r="H1499" s="431">
        <v>5.97</v>
      </c>
      <c r="I1499" s="431">
        <v>5.88</v>
      </c>
      <c r="J1499" s="431">
        <v>5.51</v>
      </c>
      <c r="K1499" s="431">
        <v>5.53</v>
      </c>
      <c r="L1499" s="431">
        <v>5.31</v>
      </c>
      <c r="M1499" s="431">
        <v>4.8099999999999996</v>
      </c>
      <c r="N1499" s="431">
        <v>4.8899999999999997</v>
      </c>
      <c r="O1499" s="431">
        <v>4.8600000000000003</v>
      </c>
      <c r="P1499" s="431">
        <v>4.46</v>
      </c>
      <c r="Q1499" s="179">
        <f t="shared" si="45"/>
        <v>5.3025000000000002</v>
      </c>
      <c r="R1499" s="179" t="s">
        <v>958</v>
      </c>
    </row>
    <row r="1500" spans="1:18" x14ac:dyDescent="0.15">
      <c r="A1500" s="179" t="str">
        <f t="shared" si="44"/>
        <v>Puebla de Zaragoza_Optimal Summer_180</v>
      </c>
      <c r="B1500" s="501" t="s">
        <v>1007</v>
      </c>
      <c r="C1500" s="429">
        <v>4</v>
      </c>
      <c r="D1500" s="429">
        <v>180</v>
      </c>
      <c r="E1500" s="431">
        <v>4.9400000000000004</v>
      </c>
      <c r="F1500" s="431">
        <v>5.65</v>
      </c>
      <c r="G1500" s="431">
        <v>6.24</v>
      </c>
      <c r="H1500" s="431">
        <v>6.12</v>
      </c>
      <c r="I1500" s="431">
        <v>6.03</v>
      </c>
      <c r="J1500" s="431">
        <v>5.65</v>
      </c>
      <c r="K1500" s="431">
        <v>5.67</v>
      </c>
      <c r="L1500" s="431">
        <v>5.45</v>
      </c>
      <c r="M1500" s="431">
        <v>4.93</v>
      </c>
      <c r="N1500" s="431">
        <v>5.0199999999999996</v>
      </c>
      <c r="O1500" s="431">
        <v>4.9800000000000004</v>
      </c>
      <c r="P1500" s="431">
        <v>4.57</v>
      </c>
      <c r="Q1500" s="179">
        <f t="shared" si="45"/>
        <v>5.4375</v>
      </c>
      <c r="R1500" s="179" t="s">
        <v>958</v>
      </c>
    </row>
    <row r="1501" spans="1:18" x14ac:dyDescent="0.15">
      <c r="A1501" s="179" t="str">
        <f t="shared" si="44"/>
        <v>Puebla de Zaragoza_Optimal Summer_202.5</v>
      </c>
      <c r="B1501" s="501" t="s">
        <v>1007</v>
      </c>
      <c r="C1501" s="429">
        <v>4</v>
      </c>
      <c r="D1501" s="429">
        <v>202.5</v>
      </c>
      <c r="E1501" s="431">
        <v>4.82</v>
      </c>
      <c r="F1501" s="431">
        <v>5.51</v>
      </c>
      <c r="G1501" s="431">
        <v>6.08</v>
      </c>
      <c r="H1501" s="431">
        <v>5.97</v>
      </c>
      <c r="I1501" s="431">
        <v>5.88</v>
      </c>
      <c r="J1501" s="431">
        <v>5.51</v>
      </c>
      <c r="K1501" s="431">
        <v>5.53</v>
      </c>
      <c r="L1501" s="431">
        <v>5.31</v>
      </c>
      <c r="M1501" s="431">
        <v>4.8099999999999996</v>
      </c>
      <c r="N1501" s="431">
        <v>4.8899999999999997</v>
      </c>
      <c r="O1501" s="431">
        <v>4.8600000000000003</v>
      </c>
      <c r="P1501" s="431">
        <v>4.46</v>
      </c>
      <c r="Q1501" s="179">
        <f t="shared" si="45"/>
        <v>5.3025000000000002</v>
      </c>
      <c r="R1501" s="179" t="s">
        <v>958</v>
      </c>
    </row>
    <row r="1502" spans="1:18" x14ac:dyDescent="0.15">
      <c r="A1502" s="179" t="str">
        <f t="shared" si="44"/>
        <v>Puebla de Zaragoza_Optimal Summer_225</v>
      </c>
      <c r="B1502" s="501" t="s">
        <v>1007</v>
      </c>
      <c r="C1502" s="429">
        <v>4</v>
      </c>
      <c r="D1502" s="429">
        <v>225</v>
      </c>
      <c r="E1502" s="431">
        <v>4.6900000000000004</v>
      </c>
      <c r="F1502" s="431">
        <v>5.37</v>
      </c>
      <c r="G1502" s="431">
        <v>5.93</v>
      </c>
      <c r="H1502" s="431">
        <v>5.81</v>
      </c>
      <c r="I1502" s="431">
        <v>5.73</v>
      </c>
      <c r="J1502" s="431">
        <v>5.37</v>
      </c>
      <c r="K1502" s="431">
        <v>5.39</v>
      </c>
      <c r="L1502" s="431">
        <v>5.18</v>
      </c>
      <c r="M1502" s="431">
        <v>4.68</v>
      </c>
      <c r="N1502" s="431">
        <v>4.7699999999999996</v>
      </c>
      <c r="O1502" s="431">
        <v>4.7300000000000004</v>
      </c>
      <c r="P1502" s="431">
        <v>4.34</v>
      </c>
      <c r="Q1502" s="179">
        <f t="shared" si="45"/>
        <v>5.1658333333333344</v>
      </c>
      <c r="R1502" s="179" t="s">
        <v>958</v>
      </c>
    </row>
    <row r="1503" spans="1:18" x14ac:dyDescent="0.15">
      <c r="A1503" s="179" t="str">
        <f t="shared" si="44"/>
        <v>Puebla de Zaragoza_Optimal Summer_247.5</v>
      </c>
      <c r="B1503" s="501" t="s">
        <v>1007</v>
      </c>
      <c r="C1503" s="429">
        <v>4</v>
      </c>
      <c r="D1503" s="429">
        <v>247.5</v>
      </c>
      <c r="E1503" s="431">
        <v>4.32</v>
      </c>
      <c r="F1503" s="431">
        <v>4.9400000000000004</v>
      </c>
      <c r="G1503" s="431">
        <v>5.46</v>
      </c>
      <c r="H1503" s="431">
        <v>5.36</v>
      </c>
      <c r="I1503" s="431">
        <v>5.28</v>
      </c>
      <c r="J1503" s="431">
        <v>4.9400000000000004</v>
      </c>
      <c r="K1503" s="431">
        <v>4.96</v>
      </c>
      <c r="L1503" s="431">
        <v>4.7699999999999996</v>
      </c>
      <c r="M1503" s="431">
        <v>4.3099999999999996</v>
      </c>
      <c r="N1503" s="431">
        <v>4.3899999999999997</v>
      </c>
      <c r="O1503" s="431">
        <v>4.3600000000000003</v>
      </c>
      <c r="P1503" s="431">
        <v>4</v>
      </c>
      <c r="Q1503" s="179">
        <f t="shared" si="45"/>
        <v>4.7575000000000003</v>
      </c>
      <c r="R1503" s="179" t="s">
        <v>958</v>
      </c>
    </row>
    <row r="1504" spans="1:18" x14ac:dyDescent="0.15">
      <c r="A1504" s="179" t="str">
        <f t="shared" si="44"/>
        <v>Puebla de Zaragoza_Optimal Summer_270</v>
      </c>
      <c r="B1504" s="501" t="s">
        <v>1007</v>
      </c>
      <c r="C1504" s="429">
        <v>4</v>
      </c>
      <c r="D1504" s="429">
        <v>270</v>
      </c>
      <c r="E1504" s="431">
        <v>3.95</v>
      </c>
      <c r="F1504" s="431">
        <v>4.5199999999999996</v>
      </c>
      <c r="G1504" s="431">
        <v>4.99</v>
      </c>
      <c r="H1504" s="431">
        <v>4.9000000000000004</v>
      </c>
      <c r="I1504" s="431">
        <v>4.82</v>
      </c>
      <c r="J1504" s="431">
        <v>4.5199999999999996</v>
      </c>
      <c r="K1504" s="431">
        <v>4.54</v>
      </c>
      <c r="L1504" s="431">
        <v>4.3600000000000003</v>
      </c>
      <c r="M1504" s="431">
        <v>3.94</v>
      </c>
      <c r="N1504" s="431">
        <v>4.0199999999999996</v>
      </c>
      <c r="O1504" s="431">
        <v>3.98</v>
      </c>
      <c r="P1504" s="431">
        <v>3.66</v>
      </c>
      <c r="Q1504" s="179">
        <f t="shared" si="45"/>
        <v>4.3500000000000005</v>
      </c>
      <c r="R1504" s="179" t="s">
        <v>958</v>
      </c>
    </row>
    <row r="1505" spans="1:18" x14ac:dyDescent="0.15">
      <c r="A1505" s="179" t="str">
        <f t="shared" si="44"/>
        <v>Puebla de Zaragoza_Optimal Year Round_90</v>
      </c>
      <c r="B1505" s="501" t="s">
        <v>1007</v>
      </c>
      <c r="C1505" s="429">
        <v>19</v>
      </c>
      <c r="D1505" s="429">
        <v>90</v>
      </c>
      <c r="E1505" s="431">
        <v>4.55</v>
      </c>
      <c r="F1505" s="431">
        <v>4.96</v>
      </c>
      <c r="G1505" s="431">
        <v>5.18</v>
      </c>
      <c r="H1505" s="431">
        <v>4.8</v>
      </c>
      <c r="I1505" s="431">
        <v>4.54</v>
      </c>
      <c r="J1505" s="431">
        <v>4.5</v>
      </c>
      <c r="K1505" s="431">
        <v>4.5</v>
      </c>
      <c r="L1505" s="431">
        <v>4.22</v>
      </c>
      <c r="M1505" s="431">
        <v>3.97</v>
      </c>
      <c r="N1505" s="431">
        <v>4.2699999999999996</v>
      </c>
      <c r="O1505" s="431">
        <v>4.51</v>
      </c>
      <c r="P1505" s="431">
        <v>4.22</v>
      </c>
      <c r="Q1505" s="179">
        <f t="shared" si="45"/>
        <v>4.5183333333333326</v>
      </c>
      <c r="R1505" s="179" t="s">
        <v>993</v>
      </c>
    </row>
    <row r="1506" spans="1:18" x14ac:dyDescent="0.15">
      <c r="A1506" s="179" t="str">
        <f t="shared" si="44"/>
        <v>Puebla de Zaragoza_Optimal Year Round_112.5</v>
      </c>
      <c r="B1506" s="501" t="s">
        <v>1007</v>
      </c>
      <c r="C1506" s="429">
        <v>19</v>
      </c>
      <c r="D1506" s="429">
        <v>112.5</v>
      </c>
      <c r="E1506" s="431">
        <v>4.9800000000000004</v>
      </c>
      <c r="F1506" s="431">
        <v>5.42</v>
      </c>
      <c r="G1506" s="431">
        <v>5.66</v>
      </c>
      <c r="H1506" s="431">
        <v>5.25</v>
      </c>
      <c r="I1506" s="431">
        <v>4.97</v>
      </c>
      <c r="J1506" s="431">
        <v>4.93</v>
      </c>
      <c r="K1506" s="431">
        <v>4.93</v>
      </c>
      <c r="L1506" s="431">
        <v>4.6100000000000003</v>
      </c>
      <c r="M1506" s="431">
        <v>4.34</v>
      </c>
      <c r="N1506" s="431">
        <v>4.67</v>
      </c>
      <c r="O1506" s="431">
        <v>4.9400000000000004</v>
      </c>
      <c r="P1506" s="431">
        <v>4.6100000000000003</v>
      </c>
      <c r="Q1506" s="179">
        <f t="shared" si="45"/>
        <v>4.9424999999999999</v>
      </c>
      <c r="R1506" s="179" t="s">
        <v>993</v>
      </c>
    </row>
    <row r="1507" spans="1:18" x14ac:dyDescent="0.15">
      <c r="A1507" s="179" t="str">
        <f t="shared" si="44"/>
        <v>Puebla de Zaragoza_Optimal Year Round_135</v>
      </c>
      <c r="B1507" s="501" t="s">
        <v>1007</v>
      </c>
      <c r="C1507" s="429">
        <v>19</v>
      </c>
      <c r="D1507" s="429">
        <v>135</v>
      </c>
      <c r="E1507" s="431">
        <v>5.41</v>
      </c>
      <c r="F1507" s="431">
        <v>5.89</v>
      </c>
      <c r="G1507" s="431">
        <v>6.15</v>
      </c>
      <c r="H1507" s="431">
        <v>5.7</v>
      </c>
      <c r="I1507" s="431">
        <v>5.4</v>
      </c>
      <c r="J1507" s="431">
        <v>5.35</v>
      </c>
      <c r="K1507" s="431">
        <v>5.35</v>
      </c>
      <c r="L1507" s="431">
        <v>5.01</v>
      </c>
      <c r="M1507" s="431">
        <v>4.71</v>
      </c>
      <c r="N1507" s="431">
        <v>5.07</v>
      </c>
      <c r="O1507" s="431">
        <v>5.36</v>
      </c>
      <c r="P1507" s="431">
        <v>5.01</v>
      </c>
      <c r="Q1507" s="179">
        <f t="shared" si="45"/>
        <v>5.3675000000000006</v>
      </c>
      <c r="R1507" s="179" t="s">
        <v>993</v>
      </c>
    </row>
    <row r="1508" spans="1:18" x14ac:dyDescent="0.15">
      <c r="A1508" s="179" t="str">
        <f t="shared" si="44"/>
        <v>Puebla de Zaragoza_Optimal Year Round_157.5</v>
      </c>
      <c r="B1508" s="501" t="s">
        <v>1007</v>
      </c>
      <c r="C1508" s="429">
        <v>19</v>
      </c>
      <c r="D1508" s="429">
        <v>157.5</v>
      </c>
      <c r="E1508" s="431">
        <v>5.55</v>
      </c>
      <c r="F1508" s="431">
        <v>6.04</v>
      </c>
      <c r="G1508" s="431">
        <v>6.31</v>
      </c>
      <c r="H1508" s="431">
        <v>5.85</v>
      </c>
      <c r="I1508" s="431">
        <v>5.54</v>
      </c>
      <c r="J1508" s="431">
        <v>5.49</v>
      </c>
      <c r="K1508" s="431">
        <v>5.49</v>
      </c>
      <c r="L1508" s="431">
        <v>5.14</v>
      </c>
      <c r="M1508" s="431">
        <v>4.84</v>
      </c>
      <c r="N1508" s="431">
        <v>5.21</v>
      </c>
      <c r="O1508" s="431">
        <v>5.5</v>
      </c>
      <c r="P1508" s="431">
        <v>5.14</v>
      </c>
      <c r="Q1508" s="179">
        <f t="shared" si="45"/>
        <v>5.5083333333333329</v>
      </c>
      <c r="R1508" s="179" t="s">
        <v>993</v>
      </c>
    </row>
    <row r="1509" spans="1:18" x14ac:dyDescent="0.15">
      <c r="A1509" s="179" t="str">
        <f t="shared" si="44"/>
        <v>Puebla de Zaragoza_Optimal Year Round_180</v>
      </c>
      <c r="B1509" s="501" t="s">
        <v>1007</v>
      </c>
      <c r="C1509" s="429">
        <v>19</v>
      </c>
      <c r="D1509" s="429">
        <v>180</v>
      </c>
      <c r="E1509" s="431">
        <v>5.69</v>
      </c>
      <c r="F1509" s="431">
        <v>6.2</v>
      </c>
      <c r="G1509" s="431">
        <v>6.47</v>
      </c>
      <c r="H1509" s="431">
        <v>6</v>
      </c>
      <c r="I1509" s="431">
        <v>5.68</v>
      </c>
      <c r="J1509" s="431">
        <v>5.63</v>
      </c>
      <c r="K1509" s="431">
        <v>5.63</v>
      </c>
      <c r="L1509" s="431">
        <v>5.27</v>
      </c>
      <c r="M1509" s="431">
        <v>4.96</v>
      </c>
      <c r="N1509" s="431">
        <v>5.34</v>
      </c>
      <c r="O1509" s="431">
        <v>5.64</v>
      </c>
      <c r="P1509" s="431">
        <v>5.27</v>
      </c>
      <c r="Q1509" s="179">
        <f t="shared" si="45"/>
        <v>5.6483333333333334</v>
      </c>
      <c r="R1509" s="179" t="s">
        <v>993</v>
      </c>
    </row>
    <row r="1510" spans="1:18" x14ac:dyDescent="0.15">
      <c r="A1510" s="179" t="str">
        <f t="shared" si="44"/>
        <v>Puebla de Zaragoza_Optimal Year Round_202.5</v>
      </c>
      <c r="B1510" s="501" t="s">
        <v>1007</v>
      </c>
      <c r="C1510" s="429">
        <v>19</v>
      </c>
      <c r="D1510" s="429">
        <v>202.5</v>
      </c>
      <c r="E1510" s="431">
        <v>5.55</v>
      </c>
      <c r="F1510" s="431">
        <v>6.04</v>
      </c>
      <c r="G1510" s="431">
        <v>6.31</v>
      </c>
      <c r="H1510" s="431">
        <v>5.85</v>
      </c>
      <c r="I1510" s="431">
        <v>5.54</v>
      </c>
      <c r="J1510" s="431">
        <v>5.49</v>
      </c>
      <c r="K1510" s="431">
        <v>5.49</v>
      </c>
      <c r="L1510" s="431">
        <v>5.14</v>
      </c>
      <c r="M1510" s="431">
        <v>4.84</v>
      </c>
      <c r="N1510" s="431">
        <v>5.21</v>
      </c>
      <c r="O1510" s="431">
        <v>5.5</v>
      </c>
      <c r="P1510" s="431">
        <v>5.14</v>
      </c>
      <c r="Q1510" s="179">
        <f t="shared" si="45"/>
        <v>5.5083333333333329</v>
      </c>
      <c r="R1510" s="179" t="s">
        <v>993</v>
      </c>
    </row>
    <row r="1511" spans="1:18" x14ac:dyDescent="0.15">
      <c r="A1511" s="179" t="str">
        <f t="shared" si="44"/>
        <v>Puebla de Zaragoza_Optimal Year Round_225</v>
      </c>
      <c r="B1511" s="501" t="s">
        <v>1007</v>
      </c>
      <c r="C1511" s="429">
        <v>19</v>
      </c>
      <c r="D1511" s="429">
        <v>225</v>
      </c>
      <c r="E1511" s="431">
        <v>5.41</v>
      </c>
      <c r="F1511" s="431">
        <v>5.89</v>
      </c>
      <c r="G1511" s="431">
        <v>6.15</v>
      </c>
      <c r="H1511" s="431">
        <v>5.7</v>
      </c>
      <c r="I1511" s="431">
        <v>5.4</v>
      </c>
      <c r="J1511" s="431">
        <v>5.35</v>
      </c>
      <c r="K1511" s="431">
        <v>5.35</v>
      </c>
      <c r="L1511" s="431">
        <v>5.01</v>
      </c>
      <c r="M1511" s="431">
        <v>4.71</v>
      </c>
      <c r="N1511" s="431">
        <v>5.07</v>
      </c>
      <c r="O1511" s="431">
        <v>5.36</v>
      </c>
      <c r="P1511" s="431">
        <v>5.01</v>
      </c>
      <c r="Q1511" s="179">
        <f t="shared" si="45"/>
        <v>5.3675000000000006</v>
      </c>
      <c r="R1511" s="179" t="s">
        <v>993</v>
      </c>
    </row>
    <row r="1512" spans="1:18" x14ac:dyDescent="0.15">
      <c r="A1512" s="179" t="str">
        <f t="shared" si="44"/>
        <v>Puebla de Zaragoza_Optimal Year Round_247.5</v>
      </c>
      <c r="B1512" s="501" t="s">
        <v>1007</v>
      </c>
      <c r="C1512" s="429">
        <v>19</v>
      </c>
      <c r="D1512" s="429">
        <v>247.5</v>
      </c>
      <c r="E1512" s="431">
        <v>4.9800000000000004</v>
      </c>
      <c r="F1512" s="431">
        <v>5.42</v>
      </c>
      <c r="G1512" s="431">
        <v>5.66</v>
      </c>
      <c r="H1512" s="431">
        <v>5.25</v>
      </c>
      <c r="I1512" s="431">
        <v>4.97</v>
      </c>
      <c r="J1512" s="431">
        <v>4.93</v>
      </c>
      <c r="K1512" s="431">
        <v>4.93</v>
      </c>
      <c r="L1512" s="431">
        <v>4.6100000000000003</v>
      </c>
      <c r="M1512" s="431">
        <v>4.34</v>
      </c>
      <c r="N1512" s="431">
        <v>4.67</v>
      </c>
      <c r="O1512" s="431">
        <v>4.9400000000000004</v>
      </c>
      <c r="P1512" s="431">
        <v>4.6100000000000003</v>
      </c>
      <c r="Q1512" s="179">
        <f t="shared" si="45"/>
        <v>4.9424999999999999</v>
      </c>
      <c r="R1512" s="179" t="s">
        <v>993</v>
      </c>
    </row>
    <row r="1513" spans="1:18" x14ac:dyDescent="0.15">
      <c r="A1513" s="179" t="str">
        <f t="shared" si="44"/>
        <v>Puebla de Zaragoza_Optimal Year Round_270</v>
      </c>
      <c r="B1513" s="501" t="s">
        <v>1007</v>
      </c>
      <c r="C1513" s="429">
        <v>19</v>
      </c>
      <c r="D1513" s="429">
        <v>270</v>
      </c>
      <c r="E1513" s="431">
        <v>4.55</v>
      </c>
      <c r="F1513" s="431">
        <v>4.96</v>
      </c>
      <c r="G1513" s="431">
        <v>5.18</v>
      </c>
      <c r="H1513" s="431">
        <v>4.8</v>
      </c>
      <c r="I1513" s="431">
        <v>4.54</v>
      </c>
      <c r="J1513" s="431">
        <v>4.5</v>
      </c>
      <c r="K1513" s="431">
        <v>4.5</v>
      </c>
      <c r="L1513" s="431">
        <v>4.22</v>
      </c>
      <c r="M1513" s="431">
        <v>3.97</v>
      </c>
      <c r="N1513" s="431">
        <v>4.2699999999999996</v>
      </c>
      <c r="O1513" s="431">
        <v>4.51</v>
      </c>
      <c r="P1513" s="431">
        <v>4.22</v>
      </c>
      <c r="Q1513" s="179">
        <f t="shared" si="45"/>
        <v>4.5183333333333326</v>
      </c>
      <c r="R1513" s="179" t="s">
        <v>993</v>
      </c>
    </row>
    <row r="1514" spans="1:18" x14ac:dyDescent="0.15">
      <c r="A1514" s="179" t="str">
        <f t="shared" si="44"/>
        <v>Queretaro_Flat Surface_90</v>
      </c>
      <c r="B1514" s="501" t="s">
        <v>991</v>
      </c>
      <c r="C1514" s="429">
        <v>0</v>
      </c>
      <c r="D1514" s="429">
        <v>90</v>
      </c>
      <c r="E1514" s="431">
        <v>4.8</v>
      </c>
      <c r="F1514" s="431">
        <v>5.81</v>
      </c>
      <c r="G1514" s="431">
        <v>6.73</v>
      </c>
      <c r="H1514" s="431">
        <v>6.91</v>
      </c>
      <c r="I1514" s="431">
        <v>6.77</v>
      </c>
      <c r="J1514" s="431">
        <v>6.33</v>
      </c>
      <c r="K1514" s="431">
        <v>6.11</v>
      </c>
      <c r="L1514" s="431">
        <v>5.93</v>
      </c>
      <c r="M1514" s="431">
        <v>5.41</v>
      </c>
      <c r="N1514" s="431">
        <v>5.24</v>
      </c>
      <c r="O1514" s="431">
        <v>5.05</v>
      </c>
      <c r="P1514" s="431">
        <v>4.43</v>
      </c>
      <c r="Q1514" s="179">
        <f t="shared" si="45"/>
        <v>5.7933333333333339</v>
      </c>
      <c r="R1514" s="179" t="s">
        <v>994</v>
      </c>
    </row>
    <row r="1515" spans="1:18" x14ac:dyDescent="0.15">
      <c r="A1515" s="179" t="str">
        <f t="shared" si="44"/>
        <v>Queretaro_Flat Surface_112.5</v>
      </c>
      <c r="B1515" s="501" t="s">
        <v>991</v>
      </c>
      <c r="C1515" s="429">
        <v>0</v>
      </c>
      <c r="D1515" s="429">
        <v>112.5</v>
      </c>
      <c r="E1515" s="431">
        <v>4.8</v>
      </c>
      <c r="F1515" s="431">
        <v>5.81</v>
      </c>
      <c r="G1515" s="431">
        <v>6.73</v>
      </c>
      <c r="H1515" s="431">
        <v>6.91</v>
      </c>
      <c r="I1515" s="431">
        <v>6.77</v>
      </c>
      <c r="J1515" s="431">
        <v>6.33</v>
      </c>
      <c r="K1515" s="431">
        <v>6.11</v>
      </c>
      <c r="L1515" s="431">
        <v>5.93</v>
      </c>
      <c r="M1515" s="431">
        <v>5.41</v>
      </c>
      <c r="N1515" s="431">
        <v>5.24</v>
      </c>
      <c r="O1515" s="431">
        <v>5.05</v>
      </c>
      <c r="P1515" s="431">
        <v>4.43</v>
      </c>
      <c r="Q1515" s="179">
        <f t="shared" si="45"/>
        <v>5.7933333333333339</v>
      </c>
      <c r="R1515" s="179" t="s">
        <v>994</v>
      </c>
    </row>
    <row r="1516" spans="1:18" x14ac:dyDescent="0.15">
      <c r="A1516" s="179" t="str">
        <f t="shared" si="44"/>
        <v>Queretaro_Flat Surface_135</v>
      </c>
      <c r="B1516" s="501" t="s">
        <v>991</v>
      </c>
      <c r="C1516" s="429">
        <v>0</v>
      </c>
      <c r="D1516" s="429">
        <v>135</v>
      </c>
      <c r="E1516" s="431">
        <v>4.8</v>
      </c>
      <c r="F1516" s="431">
        <v>5.81</v>
      </c>
      <c r="G1516" s="431">
        <v>6.73</v>
      </c>
      <c r="H1516" s="431">
        <v>6.91</v>
      </c>
      <c r="I1516" s="431">
        <v>6.77</v>
      </c>
      <c r="J1516" s="431">
        <v>6.33</v>
      </c>
      <c r="K1516" s="431">
        <v>6.11</v>
      </c>
      <c r="L1516" s="431">
        <v>5.93</v>
      </c>
      <c r="M1516" s="431">
        <v>5.41</v>
      </c>
      <c r="N1516" s="431">
        <v>5.24</v>
      </c>
      <c r="O1516" s="431">
        <v>5.05</v>
      </c>
      <c r="P1516" s="431">
        <v>4.43</v>
      </c>
      <c r="Q1516" s="179">
        <f t="shared" si="45"/>
        <v>5.7933333333333339</v>
      </c>
      <c r="R1516" s="179" t="s">
        <v>994</v>
      </c>
    </row>
    <row r="1517" spans="1:18" x14ac:dyDescent="0.15">
      <c r="A1517" s="179" t="str">
        <f t="shared" si="44"/>
        <v>Queretaro_Flat Surface_157.5</v>
      </c>
      <c r="B1517" s="501" t="s">
        <v>991</v>
      </c>
      <c r="C1517" s="429">
        <v>0</v>
      </c>
      <c r="D1517" s="429">
        <v>157.5</v>
      </c>
      <c r="E1517" s="431">
        <v>4.8</v>
      </c>
      <c r="F1517" s="431">
        <v>5.81</v>
      </c>
      <c r="G1517" s="431">
        <v>6.73</v>
      </c>
      <c r="H1517" s="431">
        <v>6.91</v>
      </c>
      <c r="I1517" s="431">
        <v>6.77</v>
      </c>
      <c r="J1517" s="431">
        <v>6.33</v>
      </c>
      <c r="K1517" s="431">
        <v>6.11</v>
      </c>
      <c r="L1517" s="431">
        <v>5.93</v>
      </c>
      <c r="M1517" s="431">
        <v>5.41</v>
      </c>
      <c r="N1517" s="431">
        <v>5.24</v>
      </c>
      <c r="O1517" s="431">
        <v>5.05</v>
      </c>
      <c r="P1517" s="431">
        <v>4.43</v>
      </c>
      <c r="Q1517" s="179">
        <f t="shared" si="45"/>
        <v>5.7933333333333339</v>
      </c>
      <c r="R1517" s="179" t="s">
        <v>994</v>
      </c>
    </row>
    <row r="1518" spans="1:18" x14ac:dyDescent="0.15">
      <c r="A1518" s="179" t="str">
        <f t="shared" si="44"/>
        <v>Queretaro_Flat Surface_180</v>
      </c>
      <c r="B1518" s="501" t="s">
        <v>991</v>
      </c>
      <c r="C1518" s="429">
        <v>0</v>
      </c>
      <c r="D1518" s="429">
        <v>180</v>
      </c>
      <c r="E1518" s="431">
        <v>4.8</v>
      </c>
      <c r="F1518" s="431">
        <v>5.81</v>
      </c>
      <c r="G1518" s="431">
        <v>6.73</v>
      </c>
      <c r="H1518" s="431">
        <v>6.91</v>
      </c>
      <c r="I1518" s="431">
        <v>6.77</v>
      </c>
      <c r="J1518" s="431">
        <v>6.33</v>
      </c>
      <c r="K1518" s="431">
        <v>6.11</v>
      </c>
      <c r="L1518" s="431">
        <v>5.93</v>
      </c>
      <c r="M1518" s="431">
        <v>5.41</v>
      </c>
      <c r="N1518" s="431">
        <v>5.24</v>
      </c>
      <c r="O1518" s="431">
        <v>5.05</v>
      </c>
      <c r="P1518" s="431">
        <v>4.43</v>
      </c>
      <c r="Q1518" s="179">
        <f t="shared" si="45"/>
        <v>5.7933333333333339</v>
      </c>
      <c r="R1518" s="179" t="s">
        <v>994</v>
      </c>
    </row>
    <row r="1519" spans="1:18" x14ac:dyDescent="0.15">
      <c r="A1519" s="179" t="str">
        <f t="shared" si="44"/>
        <v>Queretaro_Flat Surface_202.5</v>
      </c>
      <c r="B1519" s="501" t="s">
        <v>991</v>
      </c>
      <c r="C1519" s="429">
        <v>0</v>
      </c>
      <c r="D1519" s="429">
        <v>202.5</v>
      </c>
      <c r="E1519" s="431">
        <v>4.8</v>
      </c>
      <c r="F1519" s="431">
        <v>5.81</v>
      </c>
      <c r="G1519" s="431">
        <v>6.73</v>
      </c>
      <c r="H1519" s="431">
        <v>6.91</v>
      </c>
      <c r="I1519" s="431">
        <v>6.77</v>
      </c>
      <c r="J1519" s="431">
        <v>6.33</v>
      </c>
      <c r="K1519" s="431">
        <v>6.11</v>
      </c>
      <c r="L1519" s="431">
        <v>5.93</v>
      </c>
      <c r="M1519" s="431">
        <v>5.41</v>
      </c>
      <c r="N1519" s="431">
        <v>5.24</v>
      </c>
      <c r="O1519" s="431">
        <v>5.05</v>
      </c>
      <c r="P1519" s="431">
        <v>4.43</v>
      </c>
      <c r="Q1519" s="179">
        <f t="shared" si="45"/>
        <v>5.7933333333333339</v>
      </c>
      <c r="R1519" s="179" t="s">
        <v>994</v>
      </c>
    </row>
    <row r="1520" spans="1:18" x14ac:dyDescent="0.15">
      <c r="A1520" s="179" t="str">
        <f t="shared" si="44"/>
        <v>Queretaro_Flat Surface_225</v>
      </c>
      <c r="B1520" s="501" t="s">
        <v>991</v>
      </c>
      <c r="C1520" s="429">
        <v>0</v>
      </c>
      <c r="D1520" s="429">
        <v>225</v>
      </c>
      <c r="E1520" s="431">
        <v>4.8</v>
      </c>
      <c r="F1520" s="431">
        <v>5.81</v>
      </c>
      <c r="G1520" s="431">
        <v>6.73</v>
      </c>
      <c r="H1520" s="431">
        <v>6.91</v>
      </c>
      <c r="I1520" s="431">
        <v>6.77</v>
      </c>
      <c r="J1520" s="431">
        <v>6.33</v>
      </c>
      <c r="K1520" s="431">
        <v>6.11</v>
      </c>
      <c r="L1520" s="431">
        <v>5.93</v>
      </c>
      <c r="M1520" s="431">
        <v>5.41</v>
      </c>
      <c r="N1520" s="431">
        <v>5.24</v>
      </c>
      <c r="O1520" s="431">
        <v>5.05</v>
      </c>
      <c r="P1520" s="431">
        <v>4.43</v>
      </c>
      <c r="Q1520" s="179">
        <f t="shared" si="45"/>
        <v>5.7933333333333339</v>
      </c>
      <c r="R1520" s="179" t="s">
        <v>994</v>
      </c>
    </row>
    <row r="1521" spans="1:18" x14ac:dyDescent="0.15">
      <c r="A1521" s="179" t="str">
        <f t="shared" si="44"/>
        <v>Queretaro_Flat Surface_247.5</v>
      </c>
      <c r="B1521" s="501" t="s">
        <v>991</v>
      </c>
      <c r="C1521" s="429">
        <v>0</v>
      </c>
      <c r="D1521" s="429">
        <v>247.5</v>
      </c>
      <c r="E1521" s="431">
        <v>4.8</v>
      </c>
      <c r="F1521" s="431">
        <v>5.81</v>
      </c>
      <c r="G1521" s="431">
        <v>6.73</v>
      </c>
      <c r="H1521" s="431">
        <v>6.91</v>
      </c>
      <c r="I1521" s="431">
        <v>6.77</v>
      </c>
      <c r="J1521" s="431">
        <v>6.33</v>
      </c>
      <c r="K1521" s="431">
        <v>6.11</v>
      </c>
      <c r="L1521" s="431">
        <v>5.93</v>
      </c>
      <c r="M1521" s="431">
        <v>5.41</v>
      </c>
      <c r="N1521" s="431">
        <v>5.24</v>
      </c>
      <c r="O1521" s="431">
        <v>5.05</v>
      </c>
      <c r="P1521" s="431">
        <v>4.43</v>
      </c>
      <c r="Q1521" s="179">
        <f t="shared" si="45"/>
        <v>5.7933333333333339</v>
      </c>
      <c r="R1521" s="179" t="s">
        <v>994</v>
      </c>
    </row>
    <row r="1522" spans="1:18" x14ac:dyDescent="0.15">
      <c r="A1522" s="179" t="str">
        <f t="shared" si="44"/>
        <v>Queretaro_Flat Surface_270</v>
      </c>
      <c r="B1522" s="501" t="s">
        <v>991</v>
      </c>
      <c r="C1522" s="429">
        <v>0</v>
      </c>
      <c r="D1522" s="429">
        <v>270</v>
      </c>
      <c r="E1522" s="431">
        <v>4.8</v>
      </c>
      <c r="F1522" s="431">
        <v>5.81</v>
      </c>
      <c r="G1522" s="431">
        <v>6.73</v>
      </c>
      <c r="H1522" s="431">
        <v>6.91</v>
      </c>
      <c r="I1522" s="431">
        <v>6.77</v>
      </c>
      <c r="J1522" s="431">
        <v>6.33</v>
      </c>
      <c r="K1522" s="431">
        <v>6.11</v>
      </c>
      <c r="L1522" s="431">
        <v>5.93</v>
      </c>
      <c r="M1522" s="431">
        <v>5.41</v>
      </c>
      <c r="N1522" s="431">
        <v>5.24</v>
      </c>
      <c r="O1522" s="431">
        <v>5.05</v>
      </c>
      <c r="P1522" s="431">
        <v>4.43</v>
      </c>
      <c r="Q1522" s="179">
        <f t="shared" si="45"/>
        <v>5.7933333333333339</v>
      </c>
      <c r="R1522" s="179" t="s">
        <v>994</v>
      </c>
    </row>
    <row r="1523" spans="1:18" x14ac:dyDescent="0.15">
      <c r="A1523" s="179" t="str">
        <f t="shared" si="44"/>
        <v>Queretaro_Optimal Summer_90</v>
      </c>
      <c r="B1523" s="501" t="s">
        <v>991</v>
      </c>
      <c r="C1523" s="429">
        <v>6</v>
      </c>
      <c r="D1523" s="429">
        <v>90</v>
      </c>
      <c r="E1523" s="431">
        <v>4.12</v>
      </c>
      <c r="F1523" s="431">
        <v>4.8899999999999997</v>
      </c>
      <c r="G1523" s="431">
        <v>5.54</v>
      </c>
      <c r="H1523" s="431">
        <v>5.56</v>
      </c>
      <c r="I1523" s="431">
        <v>5.37</v>
      </c>
      <c r="J1523" s="431">
        <v>5.1100000000000003</v>
      </c>
      <c r="K1523" s="431">
        <v>4.92</v>
      </c>
      <c r="L1523" s="431">
        <v>4.74</v>
      </c>
      <c r="M1523" s="431">
        <v>4.3899999999999997</v>
      </c>
      <c r="N1523" s="431">
        <v>4.3499999999999996</v>
      </c>
      <c r="O1523" s="431">
        <v>4.3099999999999996</v>
      </c>
      <c r="P1523" s="431">
        <v>3.81</v>
      </c>
      <c r="Q1523" s="179">
        <f t="shared" si="45"/>
        <v>4.7591666666666672</v>
      </c>
      <c r="R1523" s="179" t="s">
        <v>958</v>
      </c>
    </row>
    <row r="1524" spans="1:18" x14ac:dyDescent="0.15">
      <c r="A1524" s="179" t="str">
        <f t="shared" si="44"/>
        <v>Queretaro_Optimal Summer_112.5</v>
      </c>
      <c r="B1524" s="501" t="s">
        <v>991</v>
      </c>
      <c r="C1524" s="429">
        <v>6</v>
      </c>
      <c r="D1524" s="429">
        <v>112.5</v>
      </c>
      <c r="E1524" s="431">
        <v>4.51</v>
      </c>
      <c r="F1524" s="431">
        <v>5.35</v>
      </c>
      <c r="G1524" s="431">
        <v>6.06</v>
      </c>
      <c r="H1524" s="431">
        <v>6.08</v>
      </c>
      <c r="I1524" s="431">
        <v>5.87</v>
      </c>
      <c r="J1524" s="431">
        <v>5.59</v>
      </c>
      <c r="K1524" s="431">
        <v>5.38</v>
      </c>
      <c r="L1524" s="431">
        <v>5.19</v>
      </c>
      <c r="M1524" s="431">
        <v>4.8</v>
      </c>
      <c r="N1524" s="431">
        <v>4.76</v>
      </c>
      <c r="O1524" s="431">
        <v>4.72</v>
      </c>
      <c r="P1524" s="431">
        <v>4.16</v>
      </c>
      <c r="Q1524" s="179">
        <f t="shared" si="45"/>
        <v>5.2058333333333335</v>
      </c>
      <c r="R1524" s="179" t="s">
        <v>958</v>
      </c>
    </row>
    <row r="1525" spans="1:18" x14ac:dyDescent="0.15">
      <c r="A1525" s="179" t="str">
        <f t="shared" si="44"/>
        <v>Queretaro_Optimal Summer_135</v>
      </c>
      <c r="B1525" s="501" t="s">
        <v>991</v>
      </c>
      <c r="C1525" s="429">
        <v>6</v>
      </c>
      <c r="D1525" s="429">
        <v>135</v>
      </c>
      <c r="E1525" s="431">
        <v>4.8899999999999997</v>
      </c>
      <c r="F1525" s="431">
        <v>5.8</v>
      </c>
      <c r="G1525" s="431">
        <v>6.57</v>
      </c>
      <c r="H1525" s="431">
        <v>6.6</v>
      </c>
      <c r="I1525" s="431">
        <v>6.37</v>
      </c>
      <c r="J1525" s="431">
        <v>6.07</v>
      </c>
      <c r="K1525" s="431">
        <v>5.84</v>
      </c>
      <c r="L1525" s="431">
        <v>5.63</v>
      </c>
      <c r="M1525" s="431">
        <v>5.22</v>
      </c>
      <c r="N1525" s="431">
        <v>5.17</v>
      </c>
      <c r="O1525" s="431">
        <v>5.12</v>
      </c>
      <c r="P1525" s="431">
        <v>4.5199999999999996</v>
      </c>
      <c r="Q1525" s="179">
        <f t="shared" si="45"/>
        <v>5.6499999999999995</v>
      </c>
      <c r="R1525" s="179" t="s">
        <v>958</v>
      </c>
    </row>
    <row r="1526" spans="1:18" x14ac:dyDescent="0.15">
      <c r="A1526" s="179" t="str">
        <f t="shared" si="44"/>
        <v>Queretaro_Optimal Summer_157.5</v>
      </c>
      <c r="B1526" s="501" t="s">
        <v>991</v>
      </c>
      <c r="C1526" s="429">
        <v>6</v>
      </c>
      <c r="D1526" s="429">
        <v>157.5</v>
      </c>
      <c r="E1526" s="431">
        <v>5.0199999999999996</v>
      </c>
      <c r="F1526" s="431">
        <v>5.96</v>
      </c>
      <c r="G1526" s="431">
        <v>6.75</v>
      </c>
      <c r="H1526" s="431">
        <v>6.78</v>
      </c>
      <c r="I1526" s="431">
        <v>6.54</v>
      </c>
      <c r="J1526" s="431">
        <v>6.23</v>
      </c>
      <c r="K1526" s="431">
        <v>6</v>
      </c>
      <c r="L1526" s="431">
        <v>5.78</v>
      </c>
      <c r="M1526" s="431">
        <v>5.35</v>
      </c>
      <c r="N1526" s="431">
        <v>5.3</v>
      </c>
      <c r="O1526" s="431">
        <v>5.26</v>
      </c>
      <c r="P1526" s="431">
        <v>4.6399999999999997</v>
      </c>
      <c r="Q1526" s="179">
        <f t="shared" si="45"/>
        <v>5.8008333333333333</v>
      </c>
      <c r="R1526" s="179" t="s">
        <v>958</v>
      </c>
    </row>
    <row r="1527" spans="1:18" x14ac:dyDescent="0.15">
      <c r="A1527" s="179" t="str">
        <f t="shared" si="44"/>
        <v>Queretaro_Optimal Summer_180</v>
      </c>
      <c r="B1527" s="501" t="s">
        <v>991</v>
      </c>
      <c r="C1527" s="429">
        <v>6</v>
      </c>
      <c r="D1527" s="429">
        <v>180</v>
      </c>
      <c r="E1527" s="431">
        <v>5.15</v>
      </c>
      <c r="F1527" s="431">
        <v>6.11</v>
      </c>
      <c r="G1527" s="431">
        <v>6.92</v>
      </c>
      <c r="H1527" s="431">
        <v>6.95</v>
      </c>
      <c r="I1527" s="431">
        <v>6.71</v>
      </c>
      <c r="J1527" s="431">
        <v>6.39</v>
      </c>
      <c r="K1527" s="431">
        <v>6.15</v>
      </c>
      <c r="L1527" s="431">
        <v>5.93</v>
      </c>
      <c r="M1527" s="431">
        <v>5.49</v>
      </c>
      <c r="N1527" s="431">
        <v>5.44</v>
      </c>
      <c r="O1527" s="431">
        <v>5.39</v>
      </c>
      <c r="P1527" s="431">
        <v>4.76</v>
      </c>
      <c r="Q1527" s="179">
        <f t="shared" si="45"/>
        <v>5.9491666666666667</v>
      </c>
      <c r="R1527" s="179" t="s">
        <v>958</v>
      </c>
    </row>
    <row r="1528" spans="1:18" x14ac:dyDescent="0.15">
      <c r="A1528" s="179" t="str">
        <f t="shared" si="44"/>
        <v>Queretaro_Optimal Summer_202.5</v>
      </c>
      <c r="B1528" s="501" t="s">
        <v>991</v>
      </c>
      <c r="C1528" s="429">
        <v>6</v>
      </c>
      <c r="D1528" s="429">
        <v>202.5</v>
      </c>
      <c r="E1528" s="431">
        <v>5.0199999999999996</v>
      </c>
      <c r="F1528" s="431">
        <v>5.96</v>
      </c>
      <c r="G1528" s="431">
        <v>6.75</v>
      </c>
      <c r="H1528" s="431">
        <v>6.78</v>
      </c>
      <c r="I1528" s="431">
        <v>6.54</v>
      </c>
      <c r="J1528" s="431">
        <v>6.23</v>
      </c>
      <c r="K1528" s="431">
        <v>6</v>
      </c>
      <c r="L1528" s="431">
        <v>5.78</v>
      </c>
      <c r="M1528" s="431">
        <v>5.35</v>
      </c>
      <c r="N1528" s="431">
        <v>5.3</v>
      </c>
      <c r="O1528" s="431">
        <v>5.26</v>
      </c>
      <c r="P1528" s="431">
        <v>4.6399999999999997</v>
      </c>
      <c r="Q1528" s="179">
        <f t="shared" si="45"/>
        <v>5.8008333333333333</v>
      </c>
      <c r="R1528" s="179" t="s">
        <v>958</v>
      </c>
    </row>
    <row r="1529" spans="1:18" x14ac:dyDescent="0.15">
      <c r="A1529" s="179" t="str">
        <f t="shared" si="44"/>
        <v>Queretaro_Optimal Summer_225</v>
      </c>
      <c r="B1529" s="501" t="s">
        <v>991</v>
      </c>
      <c r="C1529" s="429">
        <v>6</v>
      </c>
      <c r="D1529" s="429">
        <v>225</v>
      </c>
      <c r="E1529" s="431">
        <v>4.8899999999999997</v>
      </c>
      <c r="F1529" s="431">
        <v>5.8</v>
      </c>
      <c r="G1529" s="431">
        <v>6.57</v>
      </c>
      <c r="H1529" s="431">
        <v>6.6</v>
      </c>
      <c r="I1529" s="431">
        <v>6.37</v>
      </c>
      <c r="J1529" s="431">
        <v>6.07</v>
      </c>
      <c r="K1529" s="431">
        <v>5.84</v>
      </c>
      <c r="L1529" s="431">
        <v>5.63</v>
      </c>
      <c r="M1529" s="431">
        <v>5.22</v>
      </c>
      <c r="N1529" s="431">
        <v>5.17</v>
      </c>
      <c r="O1529" s="431">
        <v>5.12</v>
      </c>
      <c r="P1529" s="431">
        <v>4.5199999999999996</v>
      </c>
      <c r="Q1529" s="179">
        <f t="shared" si="45"/>
        <v>5.6499999999999995</v>
      </c>
      <c r="R1529" s="179" t="s">
        <v>958</v>
      </c>
    </row>
    <row r="1530" spans="1:18" x14ac:dyDescent="0.15">
      <c r="A1530" s="179" t="str">
        <f t="shared" si="44"/>
        <v>Queretaro_Optimal Summer_247.5</v>
      </c>
      <c r="B1530" s="501" t="s">
        <v>991</v>
      </c>
      <c r="C1530" s="429">
        <v>6</v>
      </c>
      <c r="D1530" s="429">
        <v>247.5</v>
      </c>
      <c r="E1530" s="431">
        <v>4.51</v>
      </c>
      <c r="F1530" s="431">
        <v>5.35</v>
      </c>
      <c r="G1530" s="431">
        <v>6.06</v>
      </c>
      <c r="H1530" s="431">
        <v>6.08</v>
      </c>
      <c r="I1530" s="431">
        <v>5.87</v>
      </c>
      <c r="J1530" s="431">
        <v>5.59</v>
      </c>
      <c r="K1530" s="431">
        <v>5.38</v>
      </c>
      <c r="L1530" s="431">
        <v>5.19</v>
      </c>
      <c r="M1530" s="431">
        <v>4.8</v>
      </c>
      <c r="N1530" s="431">
        <v>4.76</v>
      </c>
      <c r="O1530" s="431">
        <v>4.72</v>
      </c>
      <c r="P1530" s="431">
        <v>4.16</v>
      </c>
      <c r="Q1530" s="179">
        <f t="shared" si="45"/>
        <v>5.2058333333333335</v>
      </c>
      <c r="R1530" s="179" t="s">
        <v>958</v>
      </c>
    </row>
    <row r="1531" spans="1:18" x14ac:dyDescent="0.15">
      <c r="A1531" s="179" t="str">
        <f t="shared" si="44"/>
        <v>Queretaro_Optimal Summer_270</v>
      </c>
      <c r="B1531" s="501" t="s">
        <v>991</v>
      </c>
      <c r="C1531" s="429">
        <v>6</v>
      </c>
      <c r="D1531" s="429">
        <v>270</v>
      </c>
      <c r="E1531" s="431">
        <v>4.12</v>
      </c>
      <c r="F1531" s="431">
        <v>4.8899999999999997</v>
      </c>
      <c r="G1531" s="431">
        <v>5.54</v>
      </c>
      <c r="H1531" s="431">
        <v>5.56</v>
      </c>
      <c r="I1531" s="431">
        <v>5.37</v>
      </c>
      <c r="J1531" s="431">
        <v>5.1100000000000003</v>
      </c>
      <c r="K1531" s="431">
        <v>4.92</v>
      </c>
      <c r="L1531" s="431">
        <v>4.74</v>
      </c>
      <c r="M1531" s="431">
        <v>4.3899999999999997</v>
      </c>
      <c r="N1531" s="431">
        <v>4.3499999999999996</v>
      </c>
      <c r="O1531" s="431">
        <v>4.3099999999999996</v>
      </c>
      <c r="P1531" s="431">
        <v>3.81</v>
      </c>
      <c r="Q1531" s="179">
        <f t="shared" si="45"/>
        <v>4.7591666666666672</v>
      </c>
      <c r="R1531" s="179" t="s">
        <v>958</v>
      </c>
    </row>
    <row r="1532" spans="1:18" x14ac:dyDescent="0.15">
      <c r="A1532" s="179" t="str">
        <f t="shared" si="44"/>
        <v>Queretaro_Optimal Year Round_90</v>
      </c>
      <c r="B1532" s="501" t="s">
        <v>991</v>
      </c>
      <c r="C1532" s="429">
        <v>21</v>
      </c>
      <c r="D1532" s="429">
        <v>90</v>
      </c>
      <c r="E1532" s="431">
        <v>4.79</v>
      </c>
      <c r="F1532" s="431">
        <v>5.42</v>
      </c>
      <c r="G1532" s="431">
        <v>5.78</v>
      </c>
      <c r="H1532" s="431">
        <v>5.46</v>
      </c>
      <c r="I1532" s="431">
        <v>5.0199999999999996</v>
      </c>
      <c r="J1532" s="431">
        <v>5.07</v>
      </c>
      <c r="K1532" s="431">
        <v>4.8600000000000003</v>
      </c>
      <c r="L1532" s="431">
        <v>4.58</v>
      </c>
      <c r="M1532" s="431">
        <v>4.4400000000000004</v>
      </c>
      <c r="N1532" s="431">
        <v>4.67</v>
      </c>
      <c r="O1532" s="431">
        <v>4.95</v>
      </c>
      <c r="P1532" s="431">
        <v>4.43</v>
      </c>
      <c r="Q1532" s="179">
        <f t="shared" si="45"/>
        <v>4.9558333333333335</v>
      </c>
      <c r="R1532" s="179" t="s">
        <v>993</v>
      </c>
    </row>
    <row r="1533" spans="1:18" x14ac:dyDescent="0.15">
      <c r="A1533" s="179" t="str">
        <f t="shared" si="44"/>
        <v>Queretaro_Optimal Year Round_112.5</v>
      </c>
      <c r="B1533" s="501" t="s">
        <v>991</v>
      </c>
      <c r="C1533" s="429">
        <v>21</v>
      </c>
      <c r="D1533" s="429">
        <v>112.5</v>
      </c>
      <c r="E1533" s="431">
        <v>5.24</v>
      </c>
      <c r="F1533" s="431">
        <v>5.93</v>
      </c>
      <c r="G1533" s="431">
        <v>6.33</v>
      </c>
      <c r="H1533" s="431">
        <v>5.98</v>
      </c>
      <c r="I1533" s="431">
        <v>5.5</v>
      </c>
      <c r="J1533" s="431">
        <v>5.55</v>
      </c>
      <c r="K1533" s="431">
        <v>5.31</v>
      </c>
      <c r="L1533" s="431">
        <v>5.01</v>
      </c>
      <c r="M1533" s="431">
        <v>4.8600000000000003</v>
      </c>
      <c r="N1533" s="431">
        <v>5.1100000000000003</v>
      </c>
      <c r="O1533" s="431">
        <v>5.42</v>
      </c>
      <c r="P1533" s="431">
        <v>4.8499999999999996</v>
      </c>
      <c r="Q1533" s="179">
        <f t="shared" si="45"/>
        <v>5.4241666666666672</v>
      </c>
      <c r="R1533" s="179" t="s">
        <v>993</v>
      </c>
    </row>
    <row r="1534" spans="1:18" x14ac:dyDescent="0.15">
      <c r="A1534" s="179" t="str">
        <f t="shared" si="44"/>
        <v>Queretaro_Optimal Year Round_135</v>
      </c>
      <c r="B1534" s="501" t="s">
        <v>991</v>
      </c>
      <c r="C1534" s="429">
        <v>21</v>
      </c>
      <c r="D1534" s="429">
        <v>135</v>
      </c>
      <c r="E1534" s="431">
        <v>5.69</v>
      </c>
      <c r="F1534" s="431">
        <v>6.44</v>
      </c>
      <c r="G1534" s="431">
        <v>6.87</v>
      </c>
      <c r="H1534" s="431">
        <v>6.49</v>
      </c>
      <c r="I1534" s="431">
        <v>5.97</v>
      </c>
      <c r="J1534" s="431">
        <v>6.02</v>
      </c>
      <c r="K1534" s="431">
        <v>5.77</v>
      </c>
      <c r="L1534" s="431">
        <v>5.44</v>
      </c>
      <c r="M1534" s="431">
        <v>5.27</v>
      </c>
      <c r="N1534" s="431">
        <v>5.55</v>
      </c>
      <c r="O1534" s="431">
        <v>5.88</v>
      </c>
      <c r="P1534" s="431">
        <v>5.26</v>
      </c>
      <c r="Q1534" s="179">
        <f t="shared" si="45"/>
        <v>5.8874999999999993</v>
      </c>
      <c r="R1534" s="179" t="s">
        <v>993</v>
      </c>
    </row>
    <row r="1535" spans="1:18" x14ac:dyDescent="0.15">
      <c r="A1535" s="179" t="str">
        <f t="shared" si="44"/>
        <v>Queretaro_Optimal Year Round_157.5</v>
      </c>
      <c r="B1535" s="501" t="s">
        <v>991</v>
      </c>
      <c r="C1535" s="429">
        <v>21</v>
      </c>
      <c r="D1535" s="429">
        <v>157.5</v>
      </c>
      <c r="E1535" s="431">
        <v>5.84</v>
      </c>
      <c r="F1535" s="431">
        <v>6.61</v>
      </c>
      <c r="G1535" s="431">
        <v>7.05</v>
      </c>
      <c r="H1535" s="431">
        <v>6.66</v>
      </c>
      <c r="I1535" s="431">
        <v>6.12</v>
      </c>
      <c r="J1535" s="431">
        <v>6.18</v>
      </c>
      <c r="K1535" s="431">
        <v>5.92</v>
      </c>
      <c r="L1535" s="431">
        <v>5.59</v>
      </c>
      <c r="M1535" s="431">
        <v>5.41</v>
      </c>
      <c r="N1535" s="431">
        <v>5.69</v>
      </c>
      <c r="O1535" s="431">
        <v>6.04</v>
      </c>
      <c r="P1535" s="431">
        <v>5.4</v>
      </c>
      <c r="Q1535" s="179">
        <f t="shared" si="45"/>
        <v>6.0425000000000004</v>
      </c>
      <c r="R1535" s="179" t="s">
        <v>993</v>
      </c>
    </row>
    <row r="1536" spans="1:18" x14ac:dyDescent="0.15">
      <c r="A1536" s="179" t="str">
        <f t="shared" si="44"/>
        <v>Queretaro_Optimal Year Round_180</v>
      </c>
      <c r="B1536" s="501" t="s">
        <v>991</v>
      </c>
      <c r="C1536" s="429">
        <v>21</v>
      </c>
      <c r="D1536" s="429">
        <v>180</v>
      </c>
      <c r="E1536" s="431">
        <v>5.99</v>
      </c>
      <c r="F1536" s="431">
        <v>6.78</v>
      </c>
      <c r="G1536" s="431">
        <v>7.23</v>
      </c>
      <c r="H1536" s="431">
        <v>6.83</v>
      </c>
      <c r="I1536" s="431">
        <v>6.28</v>
      </c>
      <c r="J1536" s="431">
        <v>6.34</v>
      </c>
      <c r="K1536" s="431">
        <v>6.07</v>
      </c>
      <c r="L1536" s="431">
        <v>5.73</v>
      </c>
      <c r="M1536" s="431">
        <v>5.55</v>
      </c>
      <c r="N1536" s="431">
        <v>5.84</v>
      </c>
      <c r="O1536" s="431">
        <v>6.19</v>
      </c>
      <c r="P1536" s="431">
        <v>5.54</v>
      </c>
      <c r="Q1536" s="179">
        <f t="shared" si="45"/>
        <v>6.1975000000000007</v>
      </c>
      <c r="R1536" s="179" t="s">
        <v>993</v>
      </c>
    </row>
    <row r="1537" spans="1:18" x14ac:dyDescent="0.15">
      <c r="A1537" s="179" t="str">
        <f t="shared" si="44"/>
        <v>Queretaro_Optimal Year Round_202.5</v>
      </c>
      <c r="B1537" s="501" t="s">
        <v>991</v>
      </c>
      <c r="C1537" s="429">
        <v>21</v>
      </c>
      <c r="D1537" s="429">
        <v>202.5</v>
      </c>
      <c r="E1537" s="431">
        <v>5.84</v>
      </c>
      <c r="F1537" s="431">
        <v>6.61</v>
      </c>
      <c r="G1537" s="431">
        <v>7.05</v>
      </c>
      <c r="H1537" s="431">
        <v>6.66</v>
      </c>
      <c r="I1537" s="431">
        <v>6.12</v>
      </c>
      <c r="J1537" s="431">
        <v>6.18</v>
      </c>
      <c r="K1537" s="431">
        <v>5.92</v>
      </c>
      <c r="L1537" s="431">
        <v>5.59</v>
      </c>
      <c r="M1537" s="431">
        <v>5.41</v>
      </c>
      <c r="N1537" s="431">
        <v>5.69</v>
      </c>
      <c r="O1537" s="431">
        <v>6.04</v>
      </c>
      <c r="P1537" s="431">
        <v>5.4</v>
      </c>
      <c r="Q1537" s="179">
        <f t="shared" si="45"/>
        <v>6.0425000000000004</v>
      </c>
      <c r="R1537" s="179" t="s">
        <v>993</v>
      </c>
    </row>
    <row r="1538" spans="1:18" x14ac:dyDescent="0.15">
      <c r="A1538" s="179" t="str">
        <f t="shared" ref="A1538:A1601" si="46">B1538&amp;"_"&amp;R1538&amp;"_"&amp;D1538</f>
        <v>Queretaro_Optimal Year Round_225</v>
      </c>
      <c r="B1538" s="501" t="s">
        <v>991</v>
      </c>
      <c r="C1538" s="429">
        <v>21</v>
      </c>
      <c r="D1538" s="429">
        <v>225</v>
      </c>
      <c r="E1538" s="431">
        <v>5.69</v>
      </c>
      <c r="F1538" s="431">
        <v>6.44</v>
      </c>
      <c r="G1538" s="431">
        <v>6.87</v>
      </c>
      <c r="H1538" s="431">
        <v>6.49</v>
      </c>
      <c r="I1538" s="431">
        <v>5.97</v>
      </c>
      <c r="J1538" s="431">
        <v>6.02</v>
      </c>
      <c r="K1538" s="431">
        <v>5.77</v>
      </c>
      <c r="L1538" s="431">
        <v>5.44</v>
      </c>
      <c r="M1538" s="431">
        <v>5.27</v>
      </c>
      <c r="N1538" s="431">
        <v>5.55</v>
      </c>
      <c r="O1538" s="431">
        <v>5.88</v>
      </c>
      <c r="P1538" s="431">
        <v>5.26</v>
      </c>
      <c r="Q1538" s="179">
        <f t="shared" ref="Q1538:Q1601" si="47">AVERAGE(E1538:P1538)</f>
        <v>5.8874999999999993</v>
      </c>
      <c r="R1538" s="179" t="s">
        <v>993</v>
      </c>
    </row>
    <row r="1539" spans="1:18" x14ac:dyDescent="0.15">
      <c r="A1539" s="179" t="str">
        <f t="shared" si="46"/>
        <v>Queretaro_Optimal Year Round_247.5</v>
      </c>
      <c r="B1539" s="501" t="s">
        <v>991</v>
      </c>
      <c r="C1539" s="429">
        <v>21</v>
      </c>
      <c r="D1539" s="429">
        <v>247.5</v>
      </c>
      <c r="E1539" s="431">
        <v>5.24</v>
      </c>
      <c r="F1539" s="431">
        <v>5.93</v>
      </c>
      <c r="G1539" s="431">
        <v>6.33</v>
      </c>
      <c r="H1539" s="431">
        <v>5.98</v>
      </c>
      <c r="I1539" s="431">
        <v>5.5</v>
      </c>
      <c r="J1539" s="431">
        <v>5.55</v>
      </c>
      <c r="K1539" s="431">
        <v>5.31</v>
      </c>
      <c r="L1539" s="431">
        <v>5.01</v>
      </c>
      <c r="M1539" s="431">
        <v>4.8600000000000003</v>
      </c>
      <c r="N1539" s="431">
        <v>5.1100000000000003</v>
      </c>
      <c r="O1539" s="431">
        <v>5.42</v>
      </c>
      <c r="P1539" s="431">
        <v>4.8499999999999996</v>
      </c>
      <c r="Q1539" s="179">
        <f t="shared" si="47"/>
        <v>5.4241666666666672</v>
      </c>
      <c r="R1539" s="179" t="s">
        <v>993</v>
      </c>
    </row>
    <row r="1540" spans="1:18" x14ac:dyDescent="0.15">
      <c r="A1540" s="179" t="str">
        <f t="shared" si="46"/>
        <v>Queretaro_Optimal Year Round_270</v>
      </c>
      <c r="B1540" s="501" t="s">
        <v>991</v>
      </c>
      <c r="C1540" s="429">
        <v>21</v>
      </c>
      <c r="D1540" s="429">
        <v>270</v>
      </c>
      <c r="E1540" s="431">
        <v>4.79</v>
      </c>
      <c r="F1540" s="431">
        <v>5.42</v>
      </c>
      <c r="G1540" s="431">
        <v>5.78</v>
      </c>
      <c r="H1540" s="431">
        <v>5.46</v>
      </c>
      <c r="I1540" s="431">
        <v>5.0199999999999996</v>
      </c>
      <c r="J1540" s="431">
        <v>5.07</v>
      </c>
      <c r="K1540" s="431">
        <v>4.8600000000000003</v>
      </c>
      <c r="L1540" s="431">
        <v>4.58</v>
      </c>
      <c r="M1540" s="431">
        <v>4.4400000000000004</v>
      </c>
      <c r="N1540" s="431">
        <v>4.67</v>
      </c>
      <c r="O1540" s="431">
        <v>4.95</v>
      </c>
      <c r="P1540" s="431">
        <v>4.43</v>
      </c>
      <c r="Q1540" s="179">
        <f t="shared" si="47"/>
        <v>4.9558333333333335</v>
      </c>
      <c r="R1540" s="179" t="s">
        <v>993</v>
      </c>
    </row>
    <row r="1541" spans="1:18" x14ac:dyDescent="0.15">
      <c r="A1541" s="179" t="str">
        <f t="shared" si="46"/>
        <v>Reynosa_Flat Surface_90</v>
      </c>
      <c r="B1541" s="501" t="s">
        <v>1008</v>
      </c>
      <c r="C1541" s="429">
        <v>0</v>
      </c>
      <c r="D1541" s="429">
        <v>90</v>
      </c>
      <c r="E1541" s="431">
        <v>3</v>
      </c>
      <c r="F1541" s="431">
        <v>3.73</v>
      </c>
      <c r="G1541" s="431">
        <v>4.78</v>
      </c>
      <c r="H1541" s="431">
        <v>5.34</v>
      </c>
      <c r="I1541" s="431">
        <v>5.94</v>
      </c>
      <c r="J1541" s="431">
        <v>6.49</v>
      </c>
      <c r="K1541" s="431">
        <v>6.59</v>
      </c>
      <c r="L1541" s="431">
        <v>6.03</v>
      </c>
      <c r="M1541" s="431">
        <v>5.09</v>
      </c>
      <c r="N1541" s="431">
        <v>4.43</v>
      </c>
      <c r="O1541" s="431">
        <v>3.41</v>
      </c>
      <c r="P1541" s="431">
        <v>2.89</v>
      </c>
      <c r="Q1541" s="179">
        <f t="shared" si="47"/>
        <v>4.8100000000000014</v>
      </c>
      <c r="R1541" s="179" t="s">
        <v>994</v>
      </c>
    </row>
    <row r="1542" spans="1:18" x14ac:dyDescent="0.15">
      <c r="A1542" s="179" t="str">
        <f t="shared" si="46"/>
        <v>Reynosa_Flat Surface_112.5</v>
      </c>
      <c r="B1542" s="501" t="s">
        <v>1008</v>
      </c>
      <c r="C1542" s="429">
        <v>0</v>
      </c>
      <c r="D1542" s="429">
        <v>112.5</v>
      </c>
      <c r="E1542" s="431">
        <v>3</v>
      </c>
      <c r="F1542" s="431">
        <v>3.73</v>
      </c>
      <c r="G1542" s="431">
        <v>4.78</v>
      </c>
      <c r="H1542" s="431">
        <v>5.34</v>
      </c>
      <c r="I1542" s="431">
        <v>5.94</v>
      </c>
      <c r="J1542" s="431">
        <v>6.49</v>
      </c>
      <c r="K1542" s="431">
        <v>6.59</v>
      </c>
      <c r="L1542" s="431">
        <v>6.03</v>
      </c>
      <c r="M1542" s="431">
        <v>5.09</v>
      </c>
      <c r="N1542" s="431">
        <v>4.43</v>
      </c>
      <c r="O1542" s="431">
        <v>3.41</v>
      </c>
      <c r="P1542" s="431">
        <v>2.89</v>
      </c>
      <c r="Q1542" s="179">
        <f t="shared" si="47"/>
        <v>4.8100000000000014</v>
      </c>
      <c r="R1542" s="179" t="s">
        <v>994</v>
      </c>
    </row>
    <row r="1543" spans="1:18" x14ac:dyDescent="0.15">
      <c r="A1543" s="179" t="str">
        <f t="shared" si="46"/>
        <v>Reynosa_Flat Surface_135</v>
      </c>
      <c r="B1543" s="501" t="s">
        <v>1008</v>
      </c>
      <c r="C1543" s="429">
        <v>0</v>
      </c>
      <c r="D1543" s="429">
        <v>135</v>
      </c>
      <c r="E1543" s="431">
        <v>3</v>
      </c>
      <c r="F1543" s="431">
        <v>3.73</v>
      </c>
      <c r="G1543" s="431">
        <v>4.78</v>
      </c>
      <c r="H1543" s="431">
        <v>5.34</v>
      </c>
      <c r="I1543" s="431">
        <v>5.94</v>
      </c>
      <c r="J1543" s="431">
        <v>6.49</v>
      </c>
      <c r="K1543" s="431">
        <v>6.59</v>
      </c>
      <c r="L1543" s="431">
        <v>6.03</v>
      </c>
      <c r="M1543" s="431">
        <v>5.09</v>
      </c>
      <c r="N1543" s="431">
        <v>4.43</v>
      </c>
      <c r="O1543" s="431">
        <v>3.41</v>
      </c>
      <c r="P1543" s="431">
        <v>2.89</v>
      </c>
      <c r="Q1543" s="179">
        <f t="shared" si="47"/>
        <v>4.8100000000000014</v>
      </c>
      <c r="R1543" s="179" t="s">
        <v>994</v>
      </c>
    </row>
    <row r="1544" spans="1:18" x14ac:dyDescent="0.15">
      <c r="A1544" s="179" t="str">
        <f t="shared" si="46"/>
        <v>Reynosa_Flat Surface_157.5</v>
      </c>
      <c r="B1544" s="501" t="s">
        <v>1008</v>
      </c>
      <c r="C1544" s="429">
        <v>0</v>
      </c>
      <c r="D1544" s="429">
        <v>157.5</v>
      </c>
      <c r="E1544" s="431">
        <v>3</v>
      </c>
      <c r="F1544" s="431">
        <v>3.73</v>
      </c>
      <c r="G1544" s="431">
        <v>4.78</v>
      </c>
      <c r="H1544" s="431">
        <v>5.34</v>
      </c>
      <c r="I1544" s="431">
        <v>5.94</v>
      </c>
      <c r="J1544" s="431">
        <v>6.49</v>
      </c>
      <c r="K1544" s="431">
        <v>6.59</v>
      </c>
      <c r="L1544" s="431">
        <v>6.03</v>
      </c>
      <c r="M1544" s="431">
        <v>5.09</v>
      </c>
      <c r="N1544" s="431">
        <v>4.43</v>
      </c>
      <c r="O1544" s="431">
        <v>3.41</v>
      </c>
      <c r="P1544" s="431">
        <v>2.89</v>
      </c>
      <c r="Q1544" s="179">
        <f t="shared" si="47"/>
        <v>4.8100000000000014</v>
      </c>
      <c r="R1544" s="179" t="s">
        <v>994</v>
      </c>
    </row>
    <row r="1545" spans="1:18" x14ac:dyDescent="0.15">
      <c r="A1545" s="179" t="str">
        <f t="shared" si="46"/>
        <v>Reynosa_Flat Surface_180</v>
      </c>
      <c r="B1545" s="501" t="s">
        <v>1008</v>
      </c>
      <c r="C1545" s="429">
        <v>0</v>
      </c>
      <c r="D1545" s="429">
        <v>180</v>
      </c>
      <c r="E1545" s="431">
        <v>3</v>
      </c>
      <c r="F1545" s="431">
        <v>3.73</v>
      </c>
      <c r="G1545" s="431">
        <v>4.78</v>
      </c>
      <c r="H1545" s="431">
        <v>5.34</v>
      </c>
      <c r="I1545" s="431">
        <v>5.94</v>
      </c>
      <c r="J1545" s="431">
        <v>6.49</v>
      </c>
      <c r="K1545" s="431">
        <v>6.59</v>
      </c>
      <c r="L1545" s="431">
        <v>6.03</v>
      </c>
      <c r="M1545" s="431">
        <v>5.09</v>
      </c>
      <c r="N1545" s="431">
        <v>4.43</v>
      </c>
      <c r="O1545" s="431">
        <v>3.41</v>
      </c>
      <c r="P1545" s="431">
        <v>2.89</v>
      </c>
      <c r="Q1545" s="179">
        <f t="shared" si="47"/>
        <v>4.8100000000000014</v>
      </c>
      <c r="R1545" s="179" t="s">
        <v>994</v>
      </c>
    </row>
    <row r="1546" spans="1:18" x14ac:dyDescent="0.15">
      <c r="A1546" s="179" t="str">
        <f t="shared" si="46"/>
        <v>Reynosa_Flat Surface_202.5</v>
      </c>
      <c r="B1546" s="501" t="s">
        <v>1008</v>
      </c>
      <c r="C1546" s="429">
        <v>0</v>
      </c>
      <c r="D1546" s="429">
        <v>202.5</v>
      </c>
      <c r="E1546" s="431">
        <v>3</v>
      </c>
      <c r="F1546" s="431">
        <v>3.73</v>
      </c>
      <c r="G1546" s="431">
        <v>4.78</v>
      </c>
      <c r="H1546" s="431">
        <v>5.34</v>
      </c>
      <c r="I1546" s="431">
        <v>5.94</v>
      </c>
      <c r="J1546" s="431">
        <v>6.49</v>
      </c>
      <c r="K1546" s="431">
        <v>6.59</v>
      </c>
      <c r="L1546" s="431">
        <v>6.03</v>
      </c>
      <c r="M1546" s="431">
        <v>5.09</v>
      </c>
      <c r="N1546" s="431">
        <v>4.43</v>
      </c>
      <c r="O1546" s="431">
        <v>3.41</v>
      </c>
      <c r="P1546" s="431">
        <v>2.89</v>
      </c>
      <c r="Q1546" s="179">
        <f t="shared" si="47"/>
        <v>4.8100000000000014</v>
      </c>
      <c r="R1546" s="179" t="s">
        <v>994</v>
      </c>
    </row>
    <row r="1547" spans="1:18" x14ac:dyDescent="0.15">
      <c r="A1547" s="179" t="str">
        <f t="shared" si="46"/>
        <v>Reynosa_Flat Surface_225</v>
      </c>
      <c r="B1547" s="501" t="s">
        <v>1008</v>
      </c>
      <c r="C1547" s="429">
        <v>0</v>
      </c>
      <c r="D1547" s="429">
        <v>225</v>
      </c>
      <c r="E1547" s="431">
        <v>3</v>
      </c>
      <c r="F1547" s="431">
        <v>3.73</v>
      </c>
      <c r="G1547" s="431">
        <v>4.78</v>
      </c>
      <c r="H1547" s="431">
        <v>5.34</v>
      </c>
      <c r="I1547" s="431">
        <v>5.94</v>
      </c>
      <c r="J1547" s="431">
        <v>6.49</v>
      </c>
      <c r="K1547" s="431">
        <v>6.59</v>
      </c>
      <c r="L1547" s="431">
        <v>6.03</v>
      </c>
      <c r="M1547" s="431">
        <v>5.09</v>
      </c>
      <c r="N1547" s="431">
        <v>4.43</v>
      </c>
      <c r="O1547" s="431">
        <v>3.41</v>
      </c>
      <c r="P1547" s="431">
        <v>2.89</v>
      </c>
      <c r="Q1547" s="179">
        <f t="shared" si="47"/>
        <v>4.8100000000000014</v>
      </c>
      <c r="R1547" s="179" t="s">
        <v>994</v>
      </c>
    </row>
    <row r="1548" spans="1:18" x14ac:dyDescent="0.15">
      <c r="A1548" s="179" t="str">
        <f t="shared" si="46"/>
        <v>Reynosa_Flat Surface_247.5</v>
      </c>
      <c r="B1548" s="501" t="s">
        <v>1008</v>
      </c>
      <c r="C1548" s="429">
        <v>0</v>
      </c>
      <c r="D1548" s="429">
        <v>247.5</v>
      </c>
      <c r="E1548" s="431">
        <v>3</v>
      </c>
      <c r="F1548" s="431">
        <v>3.73</v>
      </c>
      <c r="G1548" s="431">
        <v>4.78</v>
      </c>
      <c r="H1548" s="431">
        <v>5.34</v>
      </c>
      <c r="I1548" s="431">
        <v>5.94</v>
      </c>
      <c r="J1548" s="431">
        <v>6.49</v>
      </c>
      <c r="K1548" s="431">
        <v>6.59</v>
      </c>
      <c r="L1548" s="431">
        <v>6.03</v>
      </c>
      <c r="M1548" s="431">
        <v>5.09</v>
      </c>
      <c r="N1548" s="431">
        <v>4.43</v>
      </c>
      <c r="O1548" s="431">
        <v>3.41</v>
      </c>
      <c r="P1548" s="431">
        <v>2.89</v>
      </c>
      <c r="Q1548" s="179">
        <f t="shared" si="47"/>
        <v>4.8100000000000014</v>
      </c>
      <c r="R1548" s="179" t="s">
        <v>994</v>
      </c>
    </row>
    <row r="1549" spans="1:18" x14ac:dyDescent="0.15">
      <c r="A1549" s="179" t="str">
        <f t="shared" si="46"/>
        <v>Reynosa_Flat Surface_270</v>
      </c>
      <c r="B1549" s="501" t="s">
        <v>1008</v>
      </c>
      <c r="C1549" s="429">
        <v>0</v>
      </c>
      <c r="D1549" s="429">
        <v>270</v>
      </c>
      <c r="E1549" s="431">
        <v>3</v>
      </c>
      <c r="F1549" s="431">
        <v>3.73</v>
      </c>
      <c r="G1549" s="431">
        <v>4.78</v>
      </c>
      <c r="H1549" s="431">
        <v>5.34</v>
      </c>
      <c r="I1549" s="431">
        <v>5.94</v>
      </c>
      <c r="J1549" s="431">
        <v>6.49</v>
      </c>
      <c r="K1549" s="431">
        <v>6.59</v>
      </c>
      <c r="L1549" s="431">
        <v>6.03</v>
      </c>
      <c r="M1549" s="431">
        <v>5.09</v>
      </c>
      <c r="N1549" s="431">
        <v>4.43</v>
      </c>
      <c r="O1549" s="431">
        <v>3.41</v>
      </c>
      <c r="P1549" s="431">
        <v>2.89</v>
      </c>
      <c r="Q1549" s="179">
        <f t="shared" si="47"/>
        <v>4.8100000000000014</v>
      </c>
      <c r="R1549" s="179" t="s">
        <v>994</v>
      </c>
    </row>
    <row r="1550" spans="1:18" x14ac:dyDescent="0.15">
      <c r="A1550" s="179" t="str">
        <f t="shared" si="46"/>
        <v>Reynosa_Optimal Summer_90</v>
      </c>
      <c r="B1550" s="501" t="s">
        <v>1008</v>
      </c>
      <c r="C1550" s="429">
        <v>11</v>
      </c>
      <c r="D1550" s="429">
        <v>90</v>
      </c>
      <c r="E1550" s="431">
        <v>2.7</v>
      </c>
      <c r="F1550" s="431">
        <v>3.26</v>
      </c>
      <c r="G1550" s="431">
        <v>4.03</v>
      </c>
      <c r="H1550" s="431">
        <v>4.34</v>
      </c>
      <c r="I1550" s="431">
        <v>4.68</v>
      </c>
      <c r="J1550" s="431">
        <v>5.05</v>
      </c>
      <c r="K1550" s="431">
        <v>5.14</v>
      </c>
      <c r="L1550" s="431">
        <v>4.82</v>
      </c>
      <c r="M1550" s="431">
        <v>4.2300000000000004</v>
      </c>
      <c r="N1550" s="431">
        <v>3.86</v>
      </c>
      <c r="O1550" s="431">
        <v>3.07</v>
      </c>
      <c r="P1550" s="431">
        <v>2.64</v>
      </c>
      <c r="Q1550" s="179">
        <f t="shared" si="47"/>
        <v>3.9849999999999999</v>
      </c>
      <c r="R1550" s="179" t="s">
        <v>958</v>
      </c>
    </row>
    <row r="1551" spans="1:18" x14ac:dyDescent="0.15">
      <c r="A1551" s="179" t="str">
        <f t="shared" si="46"/>
        <v>Reynosa_Optimal Summer_112.5</v>
      </c>
      <c r="B1551" s="501" t="s">
        <v>1008</v>
      </c>
      <c r="C1551" s="429">
        <v>11</v>
      </c>
      <c r="D1551" s="429">
        <v>112.5</v>
      </c>
      <c r="E1551" s="431">
        <v>2.95</v>
      </c>
      <c r="F1551" s="431">
        <v>3.56</v>
      </c>
      <c r="G1551" s="431">
        <v>4.41</v>
      </c>
      <c r="H1551" s="431">
        <v>4.74</v>
      </c>
      <c r="I1551" s="431">
        <v>5.12</v>
      </c>
      <c r="J1551" s="431">
        <v>5.52</v>
      </c>
      <c r="K1551" s="431">
        <v>5.63</v>
      </c>
      <c r="L1551" s="431">
        <v>5.28</v>
      </c>
      <c r="M1551" s="431">
        <v>4.63</v>
      </c>
      <c r="N1551" s="431">
        <v>4.22</v>
      </c>
      <c r="O1551" s="431">
        <v>3.36</v>
      </c>
      <c r="P1551" s="431">
        <v>2.89</v>
      </c>
      <c r="Q1551" s="179">
        <f t="shared" si="47"/>
        <v>4.3591666666666669</v>
      </c>
      <c r="R1551" s="179" t="s">
        <v>958</v>
      </c>
    </row>
    <row r="1552" spans="1:18" x14ac:dyDescent="0.15">
      <c r="A1552" s="179" t="str">
        <f t="shared" si="46"/>
        <v>Reynosa_Optimal Summer_135</v>
      </c>
      <c r="B1552" s="501" t="s">
        <v>1008</v>
      </c>
      <c r="C1552" s="429">
        <v>11</v>
      </c>
      <c r="D1552" s="429">
        <v>135</v>
      </c>
      <c r="E1552" s="431">
        <v>3.2</v>
      </c>
      <c r="F1552" s="431">
        <v>3.87</v>
      </c>
      <c r="G1552" s="431">
        <v>4.79</v>
      </c>
      <c r="H1552" s="431">
        <v>5.15</v>
      </c>
      <c r="I1552" s="431">
        <v>5.56</v>
      </c>
      <c r="J1552" s="431">
        <v>5.99</v>
      </c>
      <c r="K1552" s="431">
        <v>6.11</v>
      </c>
      <c r="L1552" s="431">
        <v>5.73</v>
      </c>
      <c r="M1552" s="431">
        <v>5.03</v>
      </c>
      <c r="N1552" s="431">
        <v>4.58</v>
      </c>
      <c r="O1552" s="431">
        <v>3.65</v>
      </c>
      <c r="P1552" s="431">
        <v>3.14</v>
      </c>
      <c r="Q1552" s="179">
        <f t="shared" si="47"/>
        <v>4.7333333333333325</v>
      </c>
      <c r="R1552" s="179" t="s">
        <v>958</v>
      </c>
    </row>
    <row r="1553" spans="1:18" x14ac:dyDescent="0.15">
      <c r="A1553" s="179" t="str">
        <f t="shared" si="46"/>
        <v>Reynosa_Optimal Summer_157.5</v>
      </c>
      <c r="B1553" s="501" t="s">
        <v>1008</v>
      </c>
      <c r="C1553" s="429">
        <v>11</v>
      </c>
      <c r="D1553" s="429">
        <v>157.5</v>
      </c>
      <c r="E1553" s="431">
        <v>3.29</v>
      </c>
      <c r="F1553" s="431">
        <v>3.97</v>
      </c>
      <c r="G1553" s="431">
        <v>4.91</v>
      </c>
      <c r="H1553" s="431">
        <v>5.28</v>
      </c>
      <c r="I1553" s="431">
        <v>5.7</v>
      </c>
      <c r="J1553" s="431">
        <v>6.15</v>
      </c>
      <c r="K1553" s="431">
        <v>6.27</v>
      </c>
      <c r="L1553" s="431">
        <v>5.88</v>
      </c>
      <c r="M1553" s="431">
        <v>5.16</v>
      </c>
      <c r="N1553" s="431">
        <v>4.7</v>
      </c>
      <c r="O1553" s="431">
        <v>3.74</v>
      </c>
      <c r="P1553" s="431">
        <v>3.22</v>
      </c>
      <c r="Q1553" s="179">
        <f t="shared" si="47"/>
        <v>4.8558333333333339</v>
      </c>
      <c r="R1553" s="179" t="s">
        <v>958</v>
      </c>
    </row>
    <row r="1554" spans="1:18" x14ac:dyDescent="0.15">
      <c r="A1554" s="179" t="str">
        <f t="shared" si="46"/>
        <v>Reynosa_Optimal Summer_180</v>
      </c>
      <c r="B1554" s="501" t="s">
        <v>1008</v>
      </c>
      <c r="C1554" s="429">
        <v>11</v>
      </c>
      <c r="D1554" s="429">
        <v>180</v>
      </c>
      <c r="E1554" s="431">
        <v>3.37</v>
      </c>
      <c r="F1554" s="431">
        <v>4.07</v>
      </c>
      <c r="G1554" s="431">
        <v>5.04</v>
      </c>
      <c r="H1554" s="431">
        <v>5.42</v>
      </c>
      <c r="I1554" s="431">
        <v>5.85</v>
      </c>
      <c r="J1554" s="431">
        <v>6.31</v>
      </c>
      <c r="K1554" s="431">
        <v>6.43</v>
      </c>
      <c r="L1554" s="431">
        <v>6.03</v>
      </c>
      <c r="M1554" s="431">
        <v>5.29</v>
      </c>
      <c r="N1554" s="431">
        <v>4.82</v>
      </c>
      <c r="O1554" s="431">
        <v>3.84</v>
      </c>
      <c r="P1554" s="431">
        <v>3.3</v>
      </c>
      <c r="Q1554" s="179">
        <f t="shared" si="47"/>
        <v>4.980833333333333</v>
      </c>
      <c r="R1554" s="179" t="s">
        <v>958</v>
      </c>
    </row>
    <row r="1555" spans="1:18" x14ac:dyDescent="0.15">
      <c r="A1555" s="179" t="str">
        <f t="shared" si="46"/>
        <v>Reynosa_Optimal Summer_202.5</v>
      </c>
      <c r="B1555" s="501" t="s">
        <v>1008</v>
      </c>
      <c r="C1555" s="429">
        <v>11</v>
      </c>
      <c r="D1555" s="429">
        <v>202.5</v>
      </c>
      <c r="E1555" s="431">
        <v>3.29</v>
      </c>
      <c r="F1555" s="431">
        <v>3.97</v>
      </c>
      <c r="G1555" s="431">
        <v>4.91</v>
      </c>
      <c r="H1555" s="431">
        <v>5.28</v>
      </c>
      <c r="I1555" s="431">
        <v>5.7</v>
      </c>
      <c r="J1555" s="431">
        <v>6.15</v>
      </c>
      <c r="K1555" s="431">
        <v>6.27</v>
      </c>
      <c r="L1555" s="431">
        <v>5.88</v>
      </c>
      <c r="M1555" s="431">
        <v>5.16</v>
      </c>
      <c r="N1555" s="431">
        <v>4.7</v>
      </c>
      <c r="O1555" s="431">
        <v>3.74</v>
      </c>
      <c r="P1555" s="431">
        <v>3.22</v>
      </c>
      <c r="Q1555" s="179">
        <f t="shared" si="47"/>
        <v>4.8558333333333339</v>
      </c>
      <c r="R1555" s="179" t="s">
        <v>958</v>
      </c>
    </row>
    <row r="1556" spans="1:18" x14ac:dyDescent="0.15">
      <c r="A1556" s="179" t="str">
        <f t="shared" si="46"/>
        <v>Reynosa_Optimal Summer_225</v>
      </c>
      <c r="B1556" s="501" t="s">
        <v>1008</v>
      </c>
      <c r="C1556" s="429">
        <v>11</v>
      </c>
      <c r="D1556" s="429">
        <v>225</v>
      </c>
      <c r="E1556" s="429">
        <v>3.2</v>
      </c>
      <c r="F1556" s="429">
        <v>3.87</v>
      </c>
      <c r="G1556" s="429">
        <v>4.79</v>
      </c>
      <c r="H1556" s="429">
        <v>5.15</v>
      </c>
      <c r="I1556" s="429">
        <v>5.56</v>
      </c>
      <c r="J1556" s="429">
        <v>5.99</v>
      </c>
      <c r="K1556" s="429">
        <v>6.11</v>
      </c>
      <c r="L1556" s="429">
        <v>5.73</v>
      </c>
      <c r="M1556" s="429">
        <v>5.03</v>
      </c>
      <c r="N1556" s="429">
        <v>4.58</v>
      </c>
      <c r="O1556" s="429">
        <v>3.65</v>
      </c>
      <c r="P1556" s="429">
        <v>3.14</v>
      </c>
      <c r="Q1556" s="179">
        <f t="shared" si="47"/>
        <v>4.7333333333333325</v>
      </c>
      <c r="R1556" s="179" t="s">
        <v>958</v>
      </c>
    </row>
    <row r="1557" spans="1:18" x14ac:dyDescent="0.15">
      <c r="A1557" s="179" t="str">
        <f t="shared" si="46"/>
        <v>Reynosa_Optimal Summer_247.5</v>
      </c>
      <c r="B1557" s="501" t="s">
        <v>1008</v>
      </c>
      <c r="C1557" s="429">
        <v>11</v>
      </c>
      <c r="D1557" s="429">
        <v>247.5</v>
      </c>
      <c r="E1557" s="429">
        <v>2.95</v>
      </c>
      <c r="F1557" s="429">
        <v>3.56</v>
      </c>
      <c r="G1557" s="429">
        <v>4.41</v>
      </c>
      <c r="H1557" s="429">
        <v>4.74</v>
      </c>
      <c r="I1557" s="429">
        <v>5.12</v>
      </c>
      <c r="J1557" s="429">
        <v>5.52</v>
      </c>
      <c r="K1557" s="429">
        <v>5.63</v>
      </c>
      <c r="L1557" s="429">
        <v>5.28</v>
      </c>
      <c r="M1557" s="429">
        <v>4.63</v>
      </c>
      <c r="N1557" s="429">
        <v>4.22</v>
      </c>
      <c r="O1557" s="429">
        <v>3.36</v>
      </c>
      <c r="P1557" s="429">
        <v>2.89</v>
      </c>
      <c r="Q1557" s="179">
        <f t="shared" si="47"/>
        <v>4.3591666666666669</v>
      </c>
      <c r="R1557" s="179" t="s">
        <v>958</v>
      </c>
    </row>
    <row r="1558" spans="1:18" x14ac:dyDescent="0.15">
      <c r="A1558" s="179" t="str">
        <f t="shared" si="46"/>
        <v>Reynosa_Optimal Summer_270</v>
      </c>
      <c r="B1558" s="501" t="s">
        <v>1008</v>
      </c>
      <c r="C1558" s="429">
        <v>11</v>
      </c>
      <c r="D1558" s="429">
        <v>270</v>
      </c>
      <c r="E1558" s="429">
        <v>2.7</v>
      </c>
      <c r="F1558" s="429">
        <v>3.26</v>
      </c>
      <c r="G1558" s="429">
        <v>4.03</v>
      </c>
      <c r="H1558" s="429">
        <v>4.34</v>
      </c>
      <c r="I1558" s="429">
        <v>4.68</v>
      </c>
      <c r="J1558" s="429">
        <v>5.05</v>
      </c>
      <c r="K1558" s="429">
        <v>5.14</v>
      </c>
      <c r="L1558" s="429">
        <v>4.82</v>
      </c>
      <c r="M1558" s="429">
        <v>4.2300000000000004</v>
      </c>
      <c r="N1558" s="429">
        <v>3.86</v>
      </c>
      <c r="O1558" s="429">
        <v>3.07</v>
      </c>
      <c r="P1558" s="429">
        <v>2.64</v>
      </c>
      <c r="Q1558" s="179">
        <f t="shared" si="47"/>
        <v>3.9849999999999999</v>
      </c>
      <c r="R1558" s="179" t="s">
        <v>958</v>
      </c>
    </row>
    <row r="1559" spans="1:18" x14ac:dyDescent="0.15">
      <c r="A1559" s="179" t="str">
        <f t="shared" si="46"/>
        <v>Reynosa_Optimal Year Round_90</v>
      </c>
      <c r="B1559" s="501" t="s">
        <v>1008</v>
      </c>
      <c r="C1559" s="429">
        <v>26</v>
      </c>
      <c r="D1559" s="429">
        <v>90</v>
      </c>
      <c r="E1559" s="431">
        <v>2.99</v>
      </c>
      <c r="F1559" s="431">
        <v>3.5</v>
      </c>
      <c r="G1559" s="431">
        <v>4.1399999999999997</v>
      </c>
      <c r="H1559" s="431">
        <v>4.24</v>
      </c>
      <c r="I1559" s="431">
        <v>4.3899999999999997</v>
      </c>
      <c r="J1559" s="431">
        <v>4.63</v>
      </c>
      <c r="K1559" s="431">
        <v>4.76</v>
      </c>
      <c r="L1559" s="431">
        <v>4.62</v>
      </c>
      <c r="M1559" s="431">
        <v>4.26</v>
      </c>
      <c r="N1559" s="431">
        <v>4.0999999999999996</v>
      </c>
      <c r="O1559" s="431">
        <v>3.4</v>
      </c>
      <c r="P1559" s="431">
        <v>2.98</v>
      </c>
      <c r="Q1559" s="179">
        <f t="shared" si="47"/>
        <v>4.0008333333333326</v>
      </c>
      <c r="R1559" s="179" t="s">
        <v>993</v>
      </c>
    </row>
    <row r="1560" spans="1:18" x14ac:dyDescent="0.15">
      <c r="A1560" s="179" t="str">
        <f t="shared" si="46"/>
        <v>Reynosa_Optimal Year Round_112.5</v>
      </c>
      <c r="B1560" s="501" t="s">
        <v>1008</v>
      </c>
      <c r="C1560" s="429">
        <v>26</v>
      </c>
      <c r="D1560" s="429">
        <v>112.5</v>
      </c>
      <c r="E1560" s="431">
        <v>3.27</v>
      </c>
      <c r="F1560" s="431">
        <v>3.82</v>
      </c>
      <c r="G1560" s="431">
        <v>4.5199999999999996</v>
      </c>
      <c r="H1560" s="431">
        <v>4.6399999999999997</v>
      </c>
      <c r="I1560" s="431">
        <v>4.8</v>
      </c>
      <c r="J1560" s="431">
        <v>5.07</v>
      </c>
      <c r="K1560" s="431">
        <v>5.21</v>
      </c>
      <c r="L1560" s="431">
        <v>5.05</v>
      </c>
      <c r="M1560" s="431">
        <v>4.66</v>
      </c>
      <c r="N1560" s="431">
        <v>4.49</v>
      </c>
      <c r="O1560" s="431">
        <v>3.72</v>
      </c>
      <c r="P1560" s="431">
        <v>3.26</v>
      </c>
      <c r="Q1560" s="179">
        <f t="shared" si="47"/>
        <v>4.3758333333333335</v>
      </c>
      <c r="R1560" s="179" t="s">
        <v>993</v>
      </c>
    </row>
    <row r="1561" spans="1:18" x14ac:dyDescent="0.15">
      <c r="A1561" s="179" t="str">
        <f t="shared" si="46"/>
        <v>Reynosa_Optimal Year Round_135</v>
      </c>
      <c r="B1561" s="501" t="s">
        <v>1008</v>
      </c>
      <c r="C1561" s="429">
        <v>26</v>
      </c>
      <c r="D1561" s="429">
        <v>135</v>
      </c>
      <c r="E1561" s="431">
        <v>3.55</v>
      </c>
      <c r="F1561" s="431">
        <v>4.1500000000000004</v>
      </c>
      <c r="G1561" s="431">
        <v>4.91</v>
      </c>
      <c r="H1561" s="431">
        <v>5.04</v>
      </c>
      <c r="I1561" s="431">
        <v>5.22</v>
      </c>
      <c r="J1561" s="431">
        <v>5.5</v>
      </c>
      <c r="K1561" s="431">
        <v>5.65</v>
      </c>
      <c r="L1561" s="431">
        <v>5.48</v>
      </c>
      <c r="M1561" s="431">
        <v>5.0599999999999996</v>
      </c>
      <c r="N1561" s="431">
        <v>4.87</v>
      </c>
      <c r="O1561" s="431">
        <v>4.04</v>
      </c>
      <c r="P1561" s="431">
        <v>3.53</v>
      </c>
      <c r="Q1561" s="179">
        <f t="shared" si="47"/>
        <v>4.75</v>
      </c>
      <c r="R1561" s="179" t="s">
        <v>993</v>
      </c>
    </row>
    <row r="1562" spans="1:18" x14ac:dyDescent="0.15">
      <c r="A1562" s="179" t="str">
        <f t="shared" si="46"/>
        <v>Reynosa_Optimal Year Round_157.5</v>
      </c>
      <c r="B1562" s="501" t="s">
        <v>1008</v>
      </c>
      <c r="C1562" s="429">
        <v>26</v>
      </c>
      <c r="D1562" s="429">
        <v>157.5</v>
      </c>
      <c r="E1562" s="431">
        <v>3.65</v>
      </c>
      <c r="F1562" s="431">
        <v>4.26</v>
      </c>
      <c r="G1562" s="431">
        <v>5.04</v>
      </c>
      <c r="H1562" s="431">
        <v>5.17</v>
      </c>
      <c r="I1562" s="431">
        <v>5.35</v>
      </c>
      <c r="J1562" s="431">
        <v>5.65</v>
      </c>
      <c r="K1562" s="431">
        <v>5.8</v>
      </c>
      <c r="L1562" s="431">
        <v>5.63</v>
      </c>
      <c r="M1562" s="431">
        <v>5.2</v>
      </c>
      <c r="N1562" s="431">
        <v>5</v>
      </c>
      <c r="O1562" s="431">
        <v>4.1399999999999997</v>
      </c>
      <c r="P1562" s="431">
        <v>3.63</v>
      </c>
      <c r="Q1562" s="179">
        <f t="shared" si="47"/>
        <v>4.8766666666666669</v>
      </c>
      <c r="R1562" s="179" t="s">
        <v>993</v>
      </c>
    </row>
    <row r="1563" spans="1:18" x14ac:dyDescent="0.15">
      <c r="A1563" s="179" t="str">
        <f t="shared" si="46"/>
        <v>Reynosa_Optimal Year Round_180</v>
      </c>
      <c r="B1563" s="501" t="s">
        <v>1008</v>
      </c>
      <c r="C1563" s="429">
        <v>26</v>
      </c>
      <c r="D1563" s="429">
        <v>180</v>
      </c>
      <c r="E1563" s="431">
        <v>3.74</v>
      </c>
      <c r="F1563" s="431">
        <v>4.37</v>
      </c>
      <c r="G1563" s="431">
        <v>5.17</v>
      </c>
      <c r="H1563" s="431">
        <v>5.3</v>
      </c>
      <c r="I1563" s="431">
        <v>5.49</v>
      </c>
      <c r="J1563" s="431">
        <v>5.79</v>
      </c>
      <c r="K1563" s="431">
        <v>5.95</v>
      </c>
      <c r="L1563" s="431">
        <v>5.77</v>
      </c>
      <c r="M1563" s="431">
        <v>5.33</v>
      </c>
      <c r="N1563" s="431">
        <v>5.13</v>
      </c>
      <c r="O1563" s="431">
        <v>4.25</v>
      </c>
      <c r="P1563" s="431">
        <v>3.72</v>
      </c>
      <c r="Q1563" s="179">
        <f t="shared" si="47"/>
        <v>5.0008333333333335</v>
      </c>
      <c r="R1563" s="179" t="s">
        <v>993</v>
      </c>
    </row>
    <row r="1564" spans="1:18" x14ac:dyDescent="0.15">
      <c r="A1564" s="179" t="str">
        <f t="shared" si="46"/>
        <v>Reynosa_Optimal Year Round_202.5</v>
      </c>
      <c r="B1564" s="501" t="s">
        <v>1008</v>
      </c>
      <c r="C1564" s="429">
        <v>26</v>
      </c>
      <c r="D1564" s="429">
        <v>202.5</v>
      </c>
      <c r="E1564" s="431">
        <v>3.65</v>
      </c>
      <c r="F1564" s="431">
        <v>4.26</v>
      </c>
      <c r="G1564" s="431">
        <v>5.04</v>
      </c>
      <c r="H1564" s="431">
        <v>5.17</v>
      </c>
      <c r="I1564" s="431">
        <v>5.35</v>
      </c>
      <c r="J1564" s="431">
        <v>5.65</v>
      </c>
      <c r="K1564" s="431">
        <v>5.8</v>
      </c>
      <c r="L1564" s="431">
        <v>5.63</v>
      </c>
      <c r="M1564" s="431">
        <v>5.2</v>
      </c>
      <c r="N1564" s="431">
        <v>5</v>
      </c>
      <c r="O1564" s="431">
        <v>4.1399999999999997</v>
      </c>
      <c r="P1564" s="431">
        <v>3.63</v>
      </c>
      <c r="Q1564" s="179">
        <f t="shared" si="47"/>
        <v>4.8766666666666669</v>
      </c>
      <c r="R1564" s="179" t="s">
        <v>993</v>
      </c>
    </row>
    <row r="1565" spans="1:18" x14ac:dyDescent="0.15">
      <c r="A1565" s="179" t="str">
        <f t="shared" si="46"/>
        <v>Reynosa_Optimal Year Round_225</v>
      </c>
      <c r="B1565" s="501" t="s">
        <v>1008</v>
      </c>
      <c r="C1565" s="429">
        <v>26</v>
      </c>
      <c r="D1565" s="429">
        <v>225</v>
      </c>
      <c r="E1565" s="429">
        <v>3.55</v>
      </c>
      <c r="F1565" s="429">
        <v>4.1500000000000004</v>
      </c>
      <c r="G1565" s="429">
        <v>4.91</v>
      </c>
      <c r="H1565" s="429">
        <v>5.04</v>
      </c>
      <c r="I1565" s="429">
        <v>5.22</v>
      </c>
      <c r="J1565" s="429">
        <v>5.5</v>
      </c>
      <c r="K1565" s="429">
        <v>5.65</v>
      </c>
      <c r="L1565" s="429">
        <v>5.48</v>
      </c>
      <c r="M1565" s="429">
        <v>5.0599999999999996</v>
      </c>
      <c r="N1565" s="429">
        <v>4.87</v>
      </c>
      <c r="O1565" s="429">
        <v>4.04</v>
      </c>
      <c r="P1565" s="429">
        <v>3.53</v>
      </c>
      <c r="Q1565" s="179">
        <f t="shared" si="47"/>
        <v>4.75</v>
      </c>
      <c r="R1565" s="179" t="s">
        <v>993</v>
      </c>
    </row>
    <row r="1566" spans="1:18" x14ac:dyDescent="0.15">
      <c r="A1566" s="179" t="str">
        <f t="shared" si="46"/>
        <v>Reynosa_Optimal Year Round_247.5</v>
      </c>
      <c r="B1566" s="501" t="s">
        <v>1008</v>
      </c>
      <c r="C1566" s="429">
        <v>26</v>
      </c>
      <c r="D1566" s="429">
        <v>247.5</v>
      </c>
      <c r="E1566" s="429">
        <v>3.27</v>
      </c>
      <c r="F1566" s="429">
        <v>3.82</v>
      </c>
      <c r="G1566" s="429">
        <v>4.5199999999999996</v>
      </c>
      <c r="H1566" s="429">
        <v>4.6399999999999997</v>
      </c>
      <c r="I1566" s="429">
        <v>4.8</v>
      </c>
      <c r="J1566" s="429">
        <v>5.07</v>
      </c>
      <c r="K1566" s="429">
        <v>5.21</v>
      </c>
      <c r="L1566" s="429">
        <v>5.05</v>
      </c>
      <c r="M1566" s="429">
        <v>4.66</v>
      </c>
      <c r="N1566" s="429">
        <v>4.49</v>
      </c>
      <c r="O1566" s="429">
        <v>3.72</v>
      </c>
      <c r="P1566" s="429">
        <v>3.26</v>
      </c>
      <c r="Q1566" s="179">
        <f t="shared" si="47"/>
        <v>4.3758333333333335</v>
      </c>
      <c r="R1566" s="179" t="s">
        <v>993</v>
      </c>
    </row>
    <row r="1567" spans="1:18" x14ac:dyDescent="0.15">
      <c r="A1567" s="179" t="str">
        <f t="shared" si="46"/>
        <v>Reynosa_Optimal Year Round_270</v>
      </c>
      <c r="B1567" s="501" t="s">
        <v>1008</v>
      </c>
      <c r="C1567" s="429">
        <v>26</v>
      </c>
      <c r="D1567" s="429">
        <v>270</v>
      </c>
      <c r="E1567" s="429">
        <v>2.99</v>
      </c>
      <c r="F1567" s="429">
        <v>3.5</v>
      </c>
      <c r="G1567" s="429">
        <v>4.1399999999999997</v>
      </c>
      <c r="H1567" s="429">
        <v>4.24</v>
      </c>
      <c r="I1567" s="429">
        <v>4.3899999999999997</v>
      </c>
      <c r="J1567" s="429">
        <v>4.63</v>
      </c>
      <c r="K1567" s="429">
        <v>4.76</v>
      </c>
      <c r="L1567" s="429">
        <v>4.62</v>
      </c>
      <c r="M1567" s="429">
        <v>4.26</v>
      </c>
      <c r="N1567" s="429">
        <v>4.0999999999999996</v>
      </c>
      <c r="O1567" s="429">
        <v>3.4</v>
      </c>
      <c r="P1567" s="429">
        <v>2.98</v>
      </c>
      <c r="Q1567" s="179">
        <f t="shared" si="47"/>
        <v>4.0008333333333326</v>
      </c>
      <c r="R1567" s="179" t="s">
        <v>993</v>
      </c>
    </row>
    <row r="1568" spans="1:18" x14ac:dyDescent="0.15">
      <c r="A1568" s="179" t="str">
        <f t="shared" si="46"/>
        <v>Saltillo_Flat Surface_90</v>
      </c>
      <c r="B1568" s="429" t="s">
        <v>1009</v>
      </c>
      <c r="C1568" s="429">
        <v>0</v>
      </c>
      <c r="D1568" s="429">
        <v>90</v>
      </c>
      <c r="E1568" s="431">
        <v>3.72</v>
      </c>
      <c r="F1568" s="431">
        <v>4.57</v>
      </c>
      <c r="G1568" s="431">
        <v>5.66</v>
      </c>
      <c r="H1568" s="431">
        <v>5.82</v>
      </c>
      <c r="I1568" s="431">
        <v>6.24</v>
      </c>
      <c r="J1568" s="431">
        <v>6.16</v>
      </c>
      <c r="K1568" s="431">
        <v>6.03</v>
      </c>
      <c r="L1568" s="431">
        <v>5.66</v>
      </c>
      <c r="M1568" s="431">
        <v>4.9800000000000004</v>
      </c>
      <c r="N1568" s="431">
        <v>4.62</v>
      </c>
      <c r="O1568" s="431">
        <v>4.07</v>
      </c>
      <c r="P1568" s="431">
        <v>3.55</v>
      </c>
      <c r="Q1568" s="179">
        <f t="shared" si="47"/>
        <v>5.09</v>
      </c>
      <c r="R1568" s="179" t="s">
        <v>994</v>
      </c>
    </row>
    <row r="1569" spans="1:18" x14ac:dyDescent="0.15">
      <c r="A1569" s="179" t="str">
        <f t="shared" si="46"/>
        <v>Saltillo_Flat Surface_112.5</v>
      </c>
      <c r="B1569" s="429" t="s">
        <v>1009</v>
      </c>
      <c r="C1569" s="429">
        <v>0</v>
      </c>
      <c r="D1569" s="429">
        <v>112.5</v>
      </c>
      <c r="E1569" s="431">
        <v>3.72</v>
      </c>
      <c r="F1569" s="431">
        <v>4.57</v>
      </c>
      <c r="G1569" s="431">
        <v>5.66</v>
      </c>
      <c r="H1569" s="431">
        <v>5.82</v>
      </c>
      <c r="I1569" s="431">
        <v>6.24</v>
      </c>
      <c r="J1569" s="431">
        <v>6.16</v>
      </c>
      <c r="K1569" s="431">
        <v>6.03</v>
      </c>
      <c r="L1569" s="431">
        <v>5.66</v>
      </c>
      <c r="M1569" s="431">
        <v>4.9800000000000004</v>
      </c>
      <c r="N1569" s="431">
        <v>4.62</v>
      </c>
      <c r="O1569" s="431">
        <v>4.07</v>
      </c>
      <c r="P1569" s="431">
        <v>3.55</v>
      </c>
      <c r="Q1569" s="179">
        <f t="shared" si="47"/>
        <v>5.09</v>
      </c>
      <c r="R1569" s="179" t="s">
        <v>994</v>
      </c>
    </row>
    <row r="1570" spans="1:18" x14ac:dyDescent="0.15">
      <c r="A1570" s="179" t="str">
        <f t="shared" si="46"/>
        <v>Saltillo_Flat Surface_135</v>
      </c>
      <c r="B1570" s="429" t="s">
        <v>1009</v>
      </c>
      <c r="C1570" s="429">
        <v>0</v>
      </c>
      <c r="D1570" s="429">
        <v>135</v>
      </c>
      <c r="E1570" s="431">
        <v>3.72</v>
      </c>
      <c r="F1570" s="431">
        <v>4.57</v>
      </c>
      <c r="G1570" s="431">
        <v>5.66</v>
      </c>
      <c r="H1570" s="431">
        <v>5.82</v>
      </c>
      <c r="I1570" s="431">
        <v>6.24</v>
      </c>
      <c r="J1570" s="431">
        <v>6.16</v>
      </c>
      <c r="K1570" s="431">
        <v>6.03</v>
      </c>
      <c r="L1570" s="431">
        <v>5.66</v>
      </c>
      <c r="M1570" s="431">
        <v>4.9800000000000004</v>
      </c>
      <c r="N1570" s="431">
        <v>4.62</v>
      </c>
      <c r="O1570" s="431">
        <v>4.07</v>
      </c>
      <c r="P1570" s="431">
        <v>3.55</v>
      </c>
      <c r="Q1570" s="179">
        <f t="shared" si="47"/>
        <v>5.09</v>
      </c>
      <c r="R1570" s="179" t="s">
        <v>994</v>
      </c>
    </row>
    <row r="1571" spans="1:18" x14ac:dyDescent="0.15">
      <c r="A1571" s="179" t="str">
        <f t="shared" si="46"/>
        <v>Saltillo_Flat Surface_157.5</v>
      </c>
      <c r="B1571" s="429" t="s">
        <v>1009</v>
      </c>
      <c r="C1571" s="429">
        <v>0</v>
      </c>
      <c r="D1571" s="429">
        <v>157.5</v>
      </c>
      <c r="E1571" s="431">
        <v>3.72</v>
      </c>
      <c r="F1571" s="431">
        <v>4.57</v>
      </c>
      <c r="G1571" s="431">
        <v>5.66</v>
      </c>
      <c r="H1571" s="431">
        <v>5.82</v>
      </c>
      <c r="I1571" s="431">
        <v>6.24</v>
      </c>
      <c r="J1571" s="431">
        <v>6.16</v>
      </c>
      <c r="K1571" s="431">
        <v>6.03</v>
      </c>
      <c r="L1571" s="431">
        <v>5.66</v>
      </c>
      <c r="M1571" s="431">
        <v>4.9800000000000004</v>
      </c>
      <c r="N1571" s="431">
        <v>4.62</v>
      </c>
      <c r="O1571" s="431">
        <v>4.07</v>
      </c>
      <c r="P1571" s="431">
        <v>3.55</v>
      </c>
      <c r="Q1571" s="179">
        <f t="shared" si="47"/>
        <v>5.09</v>
      </c>
      <c r="R1571" s="179" t="s">
        <v>994</v>
      </c>
    </row>
    <row r="1572" spans="1:18" x14ac:dyDescent="0.15">
      <c r="A1572" s="179" t="str">
        <f t="shared" si="46"/>
        <v>Saltillo_Flat Surface_180</v>
      </c>
      <c r="B1572" s="429" t="s">
        <v>1009</v>
      </c>
      <c r="C1572" s="429">
        <v>0</v>
      </c>
      <c r="D1572" s="429">
        <v>180</v>
      </c>
      <c r="E1572" s="431">
        <v>3.72</v>
      </c>
      <c r="F1572" s="431">
        <v>4.57</v>
      </c>
      <c r="G1572" s="431">
        <v>5.66</v>
      </c>
      <c r="H1572" s="431">
        <v>5.82</v>
      </c>
      <c r="I1572" s="431">
        <v>6.24</v>
      </c>
      <c r="J1572" s="431">
        <v>6.16</v>
      </c>
      <c r="K1572" s="431">
        <v>6.03</v>
      </c>
      <c r="L1572" s="431">
        <v>5.66</v>
      </c>
      <c r="M1572" s="431">
        <v>4.9800000000000004</v>
      </c>
      <c r="N1572" s="431">
        <v>4.62</v>
      </c>
      <c r="O1572" s="431">
        <v>4.07</v>
      </c>
      <c r="P1572" s="431">
        <v>3.55</v>
      </c>
      <c r="Q1572" s="179">
        <f t="shared" si="47"/>
        <v>5.09</v>
      </c>
      <c r="R1572" s="179" t="s">
        <v>994</v>
      </c>
    </row>
    <row r="1573" spans="1:18" x14ac:dyDescent="0.15">
      <c r="A1573" s="179" t="str">
        <f t="shared" si="46"/>
        <v>Saltillo_Flat Surface_202.5</v>
      </c>
      <c r="B1573" s="429" t="s">
        <v>1009</v>
      </c>
      <c r="C1573" s="429">
        <v>0</v>
      </c>
      <c r="D1573" s="429">
        <v>202.5</v>
      </c>
      <c r="E1573" s="431">
        <v>3.72</v>
      </c>
      <c r="F1573" s="431">
        <v>4.57</v>
      </c>
      <c r="G1573" s="431">
        <v>5.66</v>
      </c>
      <c r="H1573" s="431">
        <v>5.82</v>
      </c>
      <c r="I1573" s="431">
        <v>6.24</v>
      </c>
      <c r="J1573" s="431">
        <v>6.16</v>
      </c>
      <c r="K1573" s="431">
        <v>6.03</v>
      </c>
      <c r="L1573" s="431">
        <v>5.66</v>
      </c>
      <c r="M1573" s="431">
        <v>4.9800000000000004</v>
      </c>
      <c r="N1573" s="431">
        <v>4.62</v>
      </c>
      <c r="O1573" s="431">
        <v>4.07</v>
      </c>
      <c r="P1573" s="431">
        <v>3.55</v>
      </c>
      <c r="Q1573" s="179">
        <f t="shared" si="47"/>
        <v>5.09</v>
      </c>
      <c r="R1573" s="179" t="s">
        <v>994</v>
      </c>
    </row>
    <row r="1574" spans="1:18" x14ac:dyDescent="0.15">
      <c r="A1574" s="179" t="str">
        <f t="shared" si="46"/>
        <v>Saltillo_Flat Surface_225</v>
      </c>
      <c r="B1574" s="429" t="s">
        <v>1009</v>
      </c>
      <c r="C1574" s="429">
        <v>0</v>
      </c>
      <c r="D1574" s="429">
        <v>225</v>
      </c>
      <c r="E1574" s="431">
        <v>3.72</v>
      </c>
      <c r="F1574" s="431">
        <v>4.57</v>
      </c>
      <c r="G1574" s="431">
        <v>5.66</v>
      </c>
      <c r="H1574" s="431">
        <v>5.82</v>
      </c>
      <c r="I1574" s="431">
        <v>6.24</v>
      </c>
      <c r="J1574" s="431">
        <v>6.16</v>
      </c>
      <c r="K1574" s="431">
        <v>6.03</v>
      </c>
      <c r="L1574" s="431">
        <v>5.66</v>
      </c>
      <c r="M1574" s="431">
        <v>4.9800000000000004</v>
      </c>
      <c r="N1574" s="431">
        <v>4.62</v>
      </c>
      <c r="O1574" s="431">
        <v>4.07</v>
      </c>
      <c r="P1574" s="431">
        <v>3.55</v>
      </c>
      <c r="Q1574" s="179">
        <f t="shared" si="47"/>
        <v>5.09</v>
      </c>
      <c r="R1574" s="179" t="s">
        <v>994</v>
      </c>
    </row>
    <row r="1575" spans="1:18" x14ac:dyDescent="0.15">
      <c r="A1575" s="179" t="str">
        <f t="shared" si="46"/>
        <v>Saltillo_Flat Surface_247.5</v>
      </c>
      <c r="B1575" s="429" t="s">
        <v>1009</v>
      </c>
      <c r="C1575" s="429">
        <v>0</v>
      </c>
      <c r="D1575" s="429">
        <v>247.5</v>
      </c>
      <c r="E1575" s="431">
        <v>3.72</v>
      </c>
      <c r="F1575" s="431">
        <v>4.57</v>
      </c>
      <c r="G1575" s="431">
        <v>5.66</v>
      </c>
      <c r="H1575" s="431">
        <v>5.82</v>
      </c>
      <c r="I1575" s="431">
        <v>6.24</v>
      </c>
      <c r="J1575" s="431">
        <v>6.16</v>
      </c>
      <c r="K1575" s="431">
        <v>6.03</v>
      </c>
      <c r="L1575" s="431">
        <v>5.66</v>
      </c>
      <c r="M1575" s="431">
        <v>4.9800000000000004</v>
      </c>
      <c r="N1575" s="431">
        <v>4.62</v>
      </c>
      <c r="O1575" s="431">
        <v>4.07</v>
      </c>
      <c r="P1575" s="431">
        <v>3.55</v>
      </c>
      <c r="Q1575" s="179">
        <f t="shared" si="47"/>
        <v>5.09</v>
      </c>
      <c r="R1575" s="179" t="s">
        <v>994</v>
      </c>
    </row>
    <row r="1576" spans="1:18" x14ac:dyDescent="0.15">
      <c r="A1576" s="179" t="str">
        <f t="shared" si="46"/>
        <v>Saltillo_Flat Surface_270</v>
      </c>
      <c r="B1576" s="429" t="s">
        <v>1009</v>
      </c>
      <c r="C1576" s="429">
        <v>0</v>
      </c>
      <c r="D1576" s="429">
        <v>270</v>
      </c>
      <c r="E1576" s="431">
        <v>3.72</v>
      </c>
      <c r="F1576" s="431">
        <v>4.57</v>
      </c>
      <c r="G1576" s="431">
        <v>5.66</v>
      </c>
      <c r="H1576" s="431">
        <v>5.82</v>
      </c>
      <c r="I1576" s="431">
        <v>6.24</v>
      </c>
      <c r="J1576" s="431">
        <v>6.16</v>
      </c>
      <c r="K1576" s="431">
        <v>6.03</v>
      </c>
      <c r="L1576" s="431">
        <v>5.66</v>
      </c>
      <c r="M1576" s="431">
        <v>4.9800000000000004</v>
      </c>
      <c r="N1576" s="431">
        <v>4.62</v>
      </c>
      <c r="O1576" s="431">
        <v>4.07</v>
      </c>
      <c r="P1576" s="431">
        <v>3.55</v>
      </c>
      <c r="Q1576" s="179">
        <f t="shared" si="47"/>
        <v>5.09</v>
      </c>
      <c r="R1576" s="179" t="s">
        <v>994</v>
      </c>
    </row>
    <row r="1577" spans="1:18" x14ac:dyDescent="0.15">
      <c r="A1577" s="179" t="str">
        <f t="shared" si="46"/>
        <v>Saltillo_Optimal Summer_90</v>
      </c>
      <c r="B1577" s="429" t="s">
        <v>1009</v>
      </c>
      <c r="C1577" s="429">
        <v>10</v>
      </c>
      <c r="D1577" s="429">
        <v>90</v>
      </c>
      <c r="E1577" s="431">
        <v>3.38</v>
      </c>
      <c r="F1577" s="431">
        <v>4.0199999999999996</v>
      </c>
      <c r="G1577" s="431">
        <v>4.79</v>
      </c>
      <c r="H1577" s="431">
        <v>4.7300000000000004</v>
      </c>
      <c r="I1577" s="431">
        <v>4.92</v>
      </c>
      <c r="J1577" s="431">
        <v>4.8099999999999996</v>
      </c>
      <c r="K1577" s="431">
        <v>4.7300000000000004</v>
      </c>
      <c r="L1577" s="431">
        <v>4.53</v>
      </c>
      <c r="M1577" s="431">
        <v>4.1100000000000003</v>
      </c>
      <c r="N1577" s="431">
        <v>3.99</v>
      </c>
      <c r="O1577" s="431">
        <v>3.68</v>
      </c>
      <c r="P1577" s="431">
        <v>3.27</v>
      </c>
      <c r="Q1577" s="179">
        <f t="shared" si="47"/>
        <v>4.246666666666667</v>
      </c>
      <c r="R1577" s="179" t="s">
        <v>958</v>
      </c>
    </row>
    <row r="1578" spans="1:18" x14ac:dyDescent="0.15">
      <c r="A1578" s="179" t="str">
        <f t="shared" si="46"/>
        <v>Saltillo_Optimal Summer_112.5</v>
      </c>
      <c r="B1578" s="429" t="s">
        <v>1009</v>
      </c>
      <c r="C1578" s="429">
        <v>10</v>
      </c>
      <c r="D1578" s="429">
        <v>112.5</v>
      </c>
      <c r="E1578" s="431">
        <v>3.7</v>
      </c>
      <c r="F1578" s="431">
        <v>4.4000000000000004</v>
      </c>
      <c r="G1578" s="431">
        <v>5.24</v>
      </c>
      <c r="H1578" s="431">
        <v>5.17</v>
      </c>
      <c r="I1578" s="431">
        <v>5.38</v>
      </c>
      <c r="J1578" s="431">
        <v>5.26</v>
      </c>
      <c r="K1578" s="431">
        <v>5.17</v>
      </c>
      <c r="L1578" s="431">
        <v>4.95</v>
      </c>
      <c r="M1578" s="431">
        <v>4.5</v>
      </c>
      <c r="N1578" s="431">
        <v>4.37</v>
      </c>
      <c r="O1578" s="431">
        <v>4.0199999999999996</v>
      </c>
      <c r="P1578" s="431">
        <v>3.58</v>
      </c>
      <c r="Q1578" s="179">
        <f t="shared" si="47"/>
        <v>4.6449999999999996</v>
      </c>
      <c r="R1578" s="179" t="s">
        <v>958</v>
      </c>
    </row>
    <row r="1579" spans="1:18" x14ac:dyDescent="0.15">
      <c r="A1579" s="179" t="str">
        <f t="shared" si="46"/>
        <v>Saltillo_Optimal Summer_135</v>
      </c>
      <c r="B1579" s="429" t="s">
        <v>1009</v>
      </c>
      <c r="C1579" s="429">
        <v>10</v>
      </c>
      <c r="D1579" s="429">
        <v>135</v>
      </c>
      <c r="E1579" s="431">
        <v>4.0199999999999996</v>
      </c>
      <c r="F1579" s="431">
        <v>4.78</v>
      </c>
      <c r="G1579" s="431">
        <v>5.69</v>
      </c>
      <c r="H1579" s="431">
        <v>5.61</v>
      </c>
      <c r="I1579" s="431">
        <v>5.84</v>
      </c>
      <c r="J1579" s="431">
        <v>5.71</v>
      </c>
      <c r="K1579" s="431">
        <v>5.61</v>
      </c>
      <c r="L1579" s="431">
        <v>5.38</v>
      </c>
      <c r="M1579" s="431">
        <v>4.88</v>
      </c>
      <c r="N1579" s="431">
        <v>4.74</v>
      </c>
      <c r="O1579" s="431">
        <v>4.37</v>
      </c>
      <c r="P1579" s="431">
        <v>3.89</v>
      </c>
      <c r="Q1579" s="179">
        <f t="shared" si="47"/>
        <v>5.0433333333333339</v>
      </c>
      <c r="R1579" s="179" t="s">
        <v>958</v>
      </c>
    </row>
    <row r="1580" spans="1:18" x14ac:dyDescent="0.15">
      <c r="A1580" s="179" t="str">
        <f t="shared" si="46"/>
        <v>Saltillo_Optimal Summer_157.5</v>
      </c>
      <c r="B1580" s="429" t="s">
        <v>1009</v>
      </c>
      <c r="C1580" s="429">
        <v>10</v>
      </c>
      <c r="D1580" s="429">
        <v>157.5</v>
      </c>
      <c r="E1580" s="431">
        <v>4.12</v>
      </c>
      <c r="F1580" s="431">
        <v>4.9000000000000004</v>
      </c>
      <c r="G1580" s="431">
        <v>5.84</v>
      </c>
      <c r="H1580" s="431">
        <v>5.76</v>
      </c>
      <c r="I1580" s="431">
        <v>6</v>
      </c>
      <c r="J1580" s="431">
        <v>5.86</v>
      </c>
      <c r="K1580" s="431">
        <v>5.76</v>
      </c>
      <c r="L1580" s="431">
        <v>5.52</v>
      </c>
      <c r="M1580" s="431">
        <v>5.01</v>
      </c>
      <c r="N1580" s="431">
        <v>4.87</v>
      </c>
      <c r="O1580" s="431">
        <v>4.4800000000000004</v>
      </c>
      <c r="P1580" s="431">
        <v>3.99</v>
      </c>
      <c r="Q1580" s="179">
        <f t="shared" si="47"/>
        <v>5.1758333333333324</v>
      </c>
      <c r="R1580" s="179" t="s">
        <v>958</v>
      </c>
    </row>
    <row r="1581" spans="1:18" x14ac:dyDescent="0.15">
      <c r="A1581" s="179" t="str">
        <f t="shared" si="46"/>
        <v>Saltillo_Optimal Summer_180</v>
      </c>
      <c r="B1581" s="429" t="s">
        <v>1009</v>
      </c>
      <c r="C1581" s="429">
        <v>10</v>
      </c>
      <c r="D1581" s="429">
        <v>180</v>
      </c>
      <c r="E1581" s="431">
        <v>4.2300000000000004</v>
      </c>
      <c r="F1581" s="431">
        <v>5.03</v>
      </c>
      <c r="G1581" s="431">
        <v>5.99</v>
      </c>
      <c r="H1581" s="431">
        <v>5.91</v>
      </c>
      <c r="I1581" s="431">
        <v>6.15</v>
      </c>
      <c r="J1581" s="431">
        <v>6.01</v>
      </c>
      <c r="K1581" s="431">
        <v>5.91</v>
      </c>
      <c r="L1581" s="431">
        <v>5.66</v>
      </c>
      <c r="M1581" s="431">
        <v>5.14</v>
      </c>
      <c r="N1581" s="431">
        <v>4.99</v>
      </c>
      <c r="O1581" s="431">
        <v>4.5999999999999996</v>
      </c>
      <c r="P1581" s="431">
        <v>4.09</v>
      </c>
      <c r="Q1581" s="179">
        <f t="shared" si="47"/>
        <v>5.309166666666667</v>
      </c>
      <c r="R1581" s="179" t="s">
        <v>958</v>
      </c>
    </row>
    <row r="1582" spans="1:18" x14ac:dyDescent="0.15">
      <c r="A1582" s="179" t="str">
        <f t="shared" si="46"/>
        <v>Saltillo_Optimal Summer_202.5</v>
      </c>
      <c r="B1582" s="429" t="s">
        <v>1009</v>
      </c>
      <c r="C1582" s="429">
        <v>10</v>
      </c>
      <c r="D1582" s="429">
        <v>202.5</v>
      </c>
      <c r="E1582" s="431">
        <v>4.12</v>
      </c>
      <c r="F1582" s="431">
        <v>4.9000000000000004</v>
      </c>
      <c r="G1582" s="431">
        <v>5.84</v>
      </c>
      <c r="H1582" s="431">
        <v>5.76</v>
      </c>
      <c r="I1582" s="431">
        <v>6</v>
      </c>
      <c r="J1582" s="431">
        <v>5.86</v>
      </c>
      <c r="K1582" s="431">
        <v>5.76</v>
      </c>
      <c r="L1582" s="431">
        <v>5.52</v>
      </c>
      <c r="M1582" s="431">
        <v>5.01</v>
      </c>
      <c r="N1582" s="431">
        <v>4.87</v>
      </c>
      <c r="O1582" s="431">
        <v>4.4800000000000004</v>
      </c>
      <c r="P1582" s="431">
        <v>3.99</v>
      </c>
      <c r="Q1582" s="179">
        <f t="shared" si="47"/>
        <v>5.1758333333333324</v>
      </c>
      <c r="R1582" s="179" t="s">
        <v>958</v>
      </c>
    </row>
    <row r="1583" spans="1:18" x14ac:dyDescent="0.15">
      <c r="A1583" s="179" t="str">
        <f t="shared" si="46"/>
        <v>Saltillo_Optimal Summer_225</v>
      </c>
      <c r="B1583" s="429" t="s">
        <v>1009</v>
      </c>
      <c r="C1583" s="429">
        <v>10</v>
      </c>
      <c r="D1583" s="429">
        <v>225</v>
      </c>
      <c r="E1583" s="431">
        <v>4.0199999999999996</v>
      </c>
      <c r="F1583" s="431">
        <v>4.78</v>
      </c>
      <c r="G1583" s="431">
        <v>5.69</v>
      </c>
      <c r="H1583" s="431">
        <v>5.61</v>
      </c>
      <c r="I1583" s="431">
        <v>5.84</v>
      </c>
      <c r="J1583" s="431">
        <v>5.71</v>
      </c>
      <c r="K1583" s="431">
        <v>5.61</v>
      </c>
      <c r="L1583" s="431">
        <v>5.38</v>
      </c>
      <c r="M1583" s="431">
        <v>4.88</v>
      </c>
      <c r="N1583" s="431">
        <v>4.74</v>
      </c>
      <c r="O1583" s="431">
        <v>4.37</v>
      </c>
      <c r="P1583" s="431">
        <v>3.89</v>
      </c>
      <c r="Q1583" s="179">
        <f t="shared" si="47"/>
        <v>5.0433333333333339</v>
      </c>
      <c r="R1583" s="179" t="s">
        <v>958</v>
      </c>
    </row>
    <row r="1584" spans="1:18" x14ac:dyDescent="0.15">
      <c r="A1584" s="179" t="str">
        <f t="shared" si="46"/>
        <v>Saltillo_Optimal Summer_247.5</v>
      </c>
      <c r="B1584" s="429" t="s">
        <v>1009</v>
      </c>
      <c r="C1584" s="429">
        <v>10</v>
      </c>
      <c r="D1584" s="429">
        <v>247.5</v>
      </c>
      <c r="E1584" s="431">
        <v>3.7</v>
      </c>
      <c r="F1584" s="431">
        <v>4.4000000000000004</v>
      </c>
      <c r="G1584" s="431">
        <v>5.24</v>
      </c>
      <c r="H1584" s="431">
        <v>5.17</v>
      </c>
      <c r="I1584" s="431">
        <v>5.38</v>
      </c>
      <c r="J1584" s="431">
        <v>5.26</v>
      </c>
      <c r="K1584" s="431">
        <v>5.17</v>
      </c>
      <c r="L1584" s="431">
        <v>4.95</v>
      </c>
      <c r="M1584" s="431">
        <v>4.5</v>
      </c>
      <c r="N1584" s="431">
        <v>4.37</v>
      </c>
      <c r="O1584" s="431">
        <v>4.0199999999999996</v>
      </c>
      <c r="P1584" s="431">
        <v>3.58</v>
      </c>
      <c r="Q1584" s="179">
        <f t="shared" si="47"/>
        <v>4.6449999999999996</v>
      </c>
      <c r="R1584" s="179" t="s">
        <v>958</v>
      </c>
    </row>
    <row r="1585" spans="1:18" x14ac:dyDescent="0.15">
      <c r="A1585" s="179" t="str">
        <f t="shared" si="46"/>
        <v>Saltillo_Optimal Summer_270</v>
      </c>
      <c r="B1585" s="429" t="s">
        <v>1009</v>
      </c>
      <c r="C1585" s="429">
        <v>10</v>
      </c>
      <c r="D1585" s="429">
        <v>270</v>
      </c>
      <c r="E1585" s="429">
        <v>3.38</v>
      </c>
      <c r="F1585" s="429">
        <v>4.0199999999999996</v>
      </c>
      <c r="G1585" s="429">
        <v>4.79</v>
      </c>
      <c r="H1585" s="429">
        <v>4.7300000000000004</v>
      </c>
      <c r="I1585" s="429">
        <v>4.92</v>
      </c>
      <c r="J1585" s="429">
        <v>4.8099999999999996</v>
      </c>
      <c r="K1585" s="429">
        <v>4.7300000000000004</v>
      </c>
      <c r="L1585" s="429">
        <v>4.53</v>
      </c>
      <c r="M1585" s="429">
        <v>4.1100000000000003</v>
      </c>
      <c r="N1585" s="429">
        <v>3.99</v>
      </c>
      <c r="O1585" s="429">
        <v>3.68</v>
      </c>
      <c r="P1585" s="429">
        <v>3.27</v>
      </c>
      <c r="Q1585" s="179">
        <f t="shared" si="47"/>
        <v>4.246666666666667</v>
      </c>
      <c r="R1585" s="179" t="s">
        <v>958</v>
      </c>
    </row>
    <row r="1586" spans="1:18" x14ac:dyDescent="0.15">
      <c r="A1586" s="179" t="str">
        <f t="shared" si="46"/>
        <v>Saltillo_Optimal Year Round_90</v>
      </c>
      <c r="B1586" s="429" t="s">
        <v>1009</v>
      </c>
      <c r="C1586" s="429">
        <v>25</v>
      </c>
      <c r="D1586" s="429">
        <v>90</v>
      </c>
      <c r="E1586" s="431">
        <v>3.84</v>
      </c>
      <c r="F1586" s="431">
        <v>4.4000000000000004</v>
      </c>
      <c r="G1586" s="431">
        <v>4.96</v>
      </c>
      <c r="H1586" s="431">
        <v>4.63</v>
      </c>
      <c r="I1586" s="431">
        <v>4.6100000000000003</v>
      </c>
      <c r="J1586" s="431">
        <v>4.43</v>
      </c>
      <c r="K1586" s="431">
        <v>4.4000000000000004</v>
      </c>
      <c r="L1586" s="431">
        <v>4.3600000000000003</v>
      </c>
      <c r="M1586" s="431">
        <v>4.1399999999999997</v>
      </c>
      <c r="N1586" s="431">
        <v>4.26</v>
      </c>
      <c r="O1586" s="431">
        <v>4.1399999999999997</v>
      </c>
      <c r="P1586" s="431">
        <v>3.78</v>
      </c>
      <c r="Q1586" s="179">
        <f t="shared" si="47"/>
        <v>4.3291666666666666</v>
      </c>
      <c r="R1586" s="179" t="s">
        <v>993</v>
      </c>
    </row>
    <row r="1587" spans="1:18" x14ac:dyDescent="0.15">
      <c r="A1587" s="179" t="str">
        <f t="shared" si="46"/>
        <v>Saltillo_Optimal Year Round_112.5</v>
      </c>
      <c r="B1587" s="429" t="s">
        <v>1009</v>
      </c>
      <c r="C1587" s="429">
        <v>25</v>
      </c>
      <c r="D1587" s="429">
        <v>112.5</v>
      </c>
      <c r="E1587" s="431">
        <v>4.2</v>
      </c>
      <c r="F1587" s="431">
        <v>4.8099999999999996</v>
      </c>
      <c r="G1587" s="431">
        <v>5.42</v>
      </c>
      <c r="H1587" s="431">
        <v>5.07</v>
      </c>
      <c r="I1587" s="431">
        <v>5.04</v>
      </c>
      <c r="J1587" s="431">
        <v>4.8499999999999996</v>
      </c>
      <c r="K1587" s="431">
        <v>4.8099999999999996</v>
      </c>
      <c r="L1587" s="431">
        <v>4.7699999999999996</v>
      </c>
      <c r="M1587" s="431">
        <v>4.53</v>
      </c>
      <c r="N1587" s="431">
        <v>4.66</v>
      </c>
      <c r="O1587" s="431">
        <v>4.53</v>
      </c>
      <c r="P1587" s="431">
        <v>4.13</v>
      </c>
      <c r="Q1587" s="179">
        <f t="shared" si="47"/>
        <v>4.7350000000000003</v>
      </c>
      <c r="R1587" s="179" t="s">
        <v>993</v>
      </c>
    </row>
    <row r="1588" spans="1:18" x14ac:dyDescent="0.15">
      <c r="A1588" s="179" t="str">
        <f t="shared" si="46"/>
        <v>Saltillo_Optimal Year Round_135</v>
      </c>
      <c r="B1588" s="429" t="s">
        <v>1009</v>
      </c>
      <c r="C1588" s="429">
        <v>25</v>
      </c>
      <c r="D1588" s="429">
        <v>135</v>
      </c>
      <c r="E1588" s="431">
        <v>4.5599999999999996</v>
      </c>
      <c r="F1588" s="431">
        <v>5.22</v>
      </c>
      <c r="G1588" s="431">
        <v>5.89</v>
      </c>
      <c r="H1588" s="431">
        <v>5.5</v>
      </c>
      <c r="I1588" s="431">
        <v>5.47</v>
      </c>
      <c r="J1588" s="431">
        <v>5.26</v>
      </c>
      <c r="K1588" s="431">
        <v>5.22</v>
      </c>
      <c r="L1588" s="431">
        <v>5.18</v>
      </c>
      <c r="M1588" s="431">
        <v>4.92</v>
      </c>
      <c r="N1588" s="431">
        <v>5.0599999999999996</v>
      </c>
      <c r="O1588" s="431">
        <v>4.92</v>
      </c>
      <c r="P1588" s="431">
        <v>4.4800000000000004</v>
      </c>
      <c r="Q1588" s="179">
        <f t="shared" si="47"/>
        <v>5.1400000000000006</v>
      </c>
      <c r="R1588" s="179" t="s">
        <v>993</v>
      </c>
    </row>
    <row r="1589" spans="1:18" x14ac:dyDescent="0.15">
      <c r="A1589" s="179" t="str">
        <f t="shared" si="46"/>
        <v>Saltillo_Optimal Year Round_157.5</v>
      </c>
      <c r="B1589" s="429" t="s">
        <v>1009</v>
      </c>
      <c r="C1589" s="429">
        <v>25</v>
      </c>
      <c r="D1589" s="429">
        <v>157.5</v>
      </c>
      <c r="E1589" s="431">
        <v>4.68</v>
      </c>
      <c r="F1589" s="431">
        <v>5.36</v>
      </c>
      <c r="G1589" s="431">
        <v>6.04</v>
      </c>
      <c r="H1589" s="431">
        <v>5.65</v>
      </c>
      <c r="I1589" s="431">
        <v>5.62</v>
      </c>
      <c r="J1589" s="431">
        <v>5.4</v>
      </c>
      <c r="K1589" s="431">
        <v>5.36</v>
      </c>
      <c r="L1589" s="431">
        <v>5.31</v>
      </c>
      <c r="M1589" s="431">
        <v>5.05</v>
      </c>
      <c r="N1589" s="431">
        <v>5.2</v>
      </c>
      <c r="O1589" s="431">
        <v>5.05</v>
      </c>
      <c r="P1589" s="431">
        <v>4.5999999999999996</v>
      </c>
      <c r="Q1589" s="179">
        <f t="shared" si="47"/>
        <v>5.2766666666666664</v>
      </c>
      <c r="R1589" s="179" t="s">
        <v>993</v>
      </c>
    </row>
    <row r="1590" spans="1:18" x14ac:dyDescent="0.15">
      <c r="A1590" s="179" t="str">
        <f t="shared" si="46"/>
        <v>Saltillo_Optimal Year Round_180</v>
      </c>
      <c r="B1590" s="429" t="s">
        <v>1009</v>
      </c>
      <c r="C1590" s="429">
        <v>25</v>
      </c>
      <c r="D1590" s="429">
        <v>180</v>
      </c>
      <c r="E1590" s="431">
        <v>4.8</v>
      </c>
      <c r="F1590" s="431">
        <v>5.5</v>
      </c>
      <c r="G1590" s="431">
        <v>6.2</v>
      </c>
      <c r="H1590" s="431">
        <v>5.79</v>
      </c>
      <c r="I1590" s="431">
        <v>5.76</v>
      </c>
      <c r="J1590" s="431">
        <v>5.54</v>
      </c>
      <c r="K1590" s="431">
        <v>5.5</v>
      </c>
      <c r="L1590" s="431">
        <v>5.45</v>
      </c>
      <c r="M1590" s="431">
        <v>5.18</v>
      </c>
      <c r="N1590" s="431">
        <v>5.33</v>
      </c>
      <c r="O1590" s="431">
        <v>5.18</v>
      </c>
      <c r="P1590" s="431">
        <v>4.72</v>
      </c>
      <c r="Q1590" s="179">
        <f t="shared" si="47"/>
        <v>5.4125000000000005</v>
      </c>
      <c r="R1590" s="179" t="s">
        <v>993</v>
      </c>
    </row>
    <row r="1591" spans="1:18" x14ac:dyDescent="0.15">
      <c r="A1591" s="179" t="str">
        <f t="shared" si="46"/>
        <v>Saltillo_Optimal Year Round_202.5</v>
      </c>
      <c r="B1591" s="429" t="s">
        <v>1009</v>
      </c>
      <c r="C1591" s="429">
        <v>25</v>
      </c>
      <c r="D1591" s="429">
        <v>202.5</v>
      </c>
      <c r="E1591" s="431">
        <v>4.68</v>
      </c>
      <c r="F1591" s="431">
        <v>5.36</v>
      </c>
      <c r="G1591" s="431">
        <v>6.04</v>
      </c>
      <c r="H1591" s="431">
        <v>5.65</v>
      </c>
      <c r="I1591" s="431">
        <v>5.62</v>
      </c>
      <c r="J1591" s="431">
        <v>5.4</v>
      </c>
      <c r="K1591" s="431">
        <v>5.36</v>
      </c>
      <c r="L1591" s="431">
        <v>5.31</v>
      </c>
      <c r="M1591" s="431">
        <v>5.05</v>
      </c>
      <c r="N1591" s="431">
        <v>5.2</v>
      </c>
      <c r="O1591" s="431">
        <v>5.05</v>
      </c>
      <c r="P1591" s="431">
        <v>4.5999999999999996</v>
      </c>
      <c r="Q1591" s="179">
        <f t="shared" si="47"/>
        <v>5.2766666666666664</v>
      </c>
      <c r="R1591" s="179" t="s">
        <v>993</v>
      </c>
    </row>
    <row r="1592" spans="1:18" x14ac:dyDescent="0.15">
      <c r="A1592" s="179" t="str">
        <f t="shared" si="46"/>
        <v>Saltillo_Optimal Year Round_225</v>
      </c>
      <c r="B1592" s="429" t="s">
        <v>1009</v>
      </c>
      <c r="C1592" s="429">
        <v>25</v>
      </c>
      <c r="D1592" s="429">
        <v>225</v>
      </c>
      <c r="E1592" s="431">
        <v>4.5599999999999996</v>
      </c>
      <c r="F1592" s="431">
        <v>5.22</v>
      </c>
      <c r="G1592" s="431">
        <v>5.89</v>
      </c>
      <c r="H1592" s="431">
        <v>5.5</v>
      </c>
      <c r="I1592" s="431">
        <v>5.47</v>
      </c>
      <c r="J1592" s="431">
        <v>5.26</v>
      </c>
      <c r="K1592" s="431">
        <v>5.22</v>
      </c>
      <c r="L1592" s="431">
        <v>5.18</v>
      </c>
      <c r="M1592" s="431">
        <v>4.92</v>
      </c>
      <c r="N1592" s="431">
        <v>5.0599999999999996</v>
      </c>
      <c r="O1592" s="431">
        <v>4.92</v>
      </c>
      <c r="P1592" s="431">
        <v>4.4800000000000004</v>
      </c>
      <c r="Q1592" s="179">
        <f t="shared" si="47"/>
        <v>5.1400000000000006</v>
      </c>
      <c r="R1592" s="179" t="s">
        <v>993</v>
      </c>
    </row>
    <row r="1593" spans="1:18" x14ac:dyDescent="0.15">
      <c r="A1593" s="179" t="str">
        <f t="shared" si="46"/>
        <v>Saltillo_Optimal Year Round_247.5</v>
      </c>
      <c r="B1593" s="429" t="s">
        <v>1009</v>
      </c>
      <c r="C1593" s="429">
        <v>25</v>
      </c>
      <c r="D1593" s="429">
        <v>247.5</v>
      </c>
      <c r="E1593" s="431">
        <v>4.2</v>
      </c>
      <c r="F1593" s="431">
        <v>4.8099999999999996</v>
      </c>
      <c r="G1593" s="431">
        <v>5.42</v>
      </c>
      <c r="H1593" s="431">
        <v>5.07</v>
      </c>
      <c r="I1593" s="431">
        <v>5.04</v>
      </c>
      <c r="J1593" s="431">
        <v>4.8499999999999996</v>
      </c>
      <c r="K1593" s="431">
        <v>4.8099999999999996</v>
      </c>
      <c r="L1593" s="431">
        <v>4.7699999999999996</v>
      </c>
      <c r="M1593" s="431">
        <v>4.53</v>
      </c>
      <c r="N1593" s="431">
        <v>4.66</v>
      </c>
      <c r="O1593" s="431">
        <v>4.53</v>
      </c>
      <c r="P1593" s="431">
        <v>4.13</v>
      </c>
      <c r="Q1593" s="179">
        <f t="shared" si="47"/>
        <v>4.7350000000000003</v>
      </c>
      <c r="R1593" s="179" t="s">
        <v>993</v>
      </c>
    </row>
    <row r="1594" spans="1:18" x14ac:dyDescent="0.15">
      <c r="A1594" s="179" t="str">
        <f t="shared" si="46"/>
        <v>Saltillo_Optimal Year Round_270</v>
      </c>
      <c r="B1594" s="429" t="s">
        <v>1009</v>
      </c>
      <c r="C1594" s="429">
        <v>25</v>
      </c>
      <c r="D1594" s="429">
        <v>270</v>
      </c>
      <c r="E1594" s="431">
        <v>3.84</v>
      </c>
      <c r="F1594" s="431">
        <v>4.4000000000000004</v>
      </c>
      <c r="G1594" s="431">
        <v>4.96</v>
      </c>
      <c r="H1594" s="431">
        <v>4.63</v>
      </c>
      <c r="I1594" s="431">
        <v>4.6100000000000003</v>
      </c>
      <c r="J1594" s="431">
        <v>4.43</v>
      </c>
      <c r="K1594" s="431">
        <v>4.4000000000000004</v>
      </c>
      <c r="L1594" s="431">
        <v>4.3600000000000003</v>
      </c>
      <c r="M1594" s="431">
        <v>4.1399999999999997</v>
      </c>
      <c r="N1594" s="431">
        <v>4.26</v>
      </c>
      <c r="O1594" s="431">
        <v>4.1399999999999997</v>
      </c>
      <c r="P1594" s="431">
        <v>3.78</v>
      </c>
      <c r="Q1594" s="179">
        <f t="shared" si="47"/>
        <v>4.3291666666666666</v>
      </c>
      <c r="R1594" s="179" t="s">
        <v>993</v>
      </c>
    </row>
    <row r="1595" spans="1:18" x14ac:dyDescent="0.15">
      <c r="A1595" s="179" t="str">
        <f t="shared" si="46"/>
        <v>San Luis Potosi_Flat Surface_90</v>
      </c>
      <c r="B1595" s="501" t="s">
        <v>992</v>
      </c>
      <c r="C1595" s="429">
        <v>0</v>
      </c>
      <c r="D1595" s="429">
        <v>90</v>
      </c>
      <c r="E1595" s="431">
        <v>4.1100000000000003</v>
      </c>
      <c r="F1595" s="431">
        <v>5.07</v>
      </c>
      <c r="G1595" s="431">
        <v>6.03</v>
      </c>
      <c r="H1595" s="431">
        <v>6.32</v>
      </c>
      <c r="I1595" s="431">
        <v>6.63</v>
      </c>
      <c r="J1595" s="431">
        <v>6.36</v>
      </c>
      <c r="K1595" s="431">
        <v>6.03</v>
      </c>
      <c r="L1595" s="431">
        <v>5.9</v>
      </c>
      <c r="M1595" s="431">
        <v>5.07</v>
      </c>
      <c r="N1595" s="431">
        <v>4.95</v>
      </c>
      <c r="O1595" s="431">
        <v>4.58</v>
      </c>
      <c r="P1595" s="431">
        <v>3.95</v>
      </c>
      <c r="Q1595" s="179">
        <f t="shared" si="47"/>
        <v>5.416666666666667</v>
      </c>
      <c r="R1595" s="179" t="s">
        <v>994</v>
      </c>
    </row>
    <row r="1596" spans="1:18" x14ac:dyDescent="0.15">
      <c r="A1596" s="179" t="str">
        <f t="shared" si="46"/>
        <v>San Luis Potosi_Flat Surface_112.5</v>
      </c>
      <c r="B1596" s="501" t="s">
        <v>992</v>
      </c>
      <c r="C1596" s="429">
        <v>0</v>
      </c>
      <c r="D1596" s="429">
        <v>112.5</v>
      </c>
      <c r="E1596" s="431">
        <v>4.1100000000000003</v>
      </c>
      <c r="F1596" s="431">
        <v>5.07</v>
      </c>
      <c r="G1596" s="431">
        <v>6.03</v>
      </c>
      <c r="H1596" s="431">
        <v>6.32</v>
      </c>
      <c r="I1596" s="431">
        <v>6.63</v>
      </c>
      <c r="J1596" s="431">
        <v>6.36</v>
      </c>
      <c r="K1596" s="431">
        <v>6.03</v>
      </c>
      <c r="L1596" s="431">
        <v>5.9</v>
      </c>
      <c r="M1596" s="431">
        <v>5.07</v>
      </c>
      <c r="N1596" s="431">
        <v>4.95</v>
      </c>
      <c r="O1596" s="431">
        <v>4.58</v>
      </c>
      <c r="P1596" s="431">
        <v>3.95</v>
      </c>
      <c r="Q1596" s="179">
        <f t="shared" si="47"/>
        <v>5.416666666666667</v>
      </c>
      <c r="R1596" s="179" t="s">
        <v>994</v>
      </c>
    </row>
    <row r="1597" spans="1:18" x14ac:dyDescent="0.15">
      <c r="A1597" s="179" t="str">
        <f t="shared" si="46"/>
        <v>San Luis Potosi_Flat Surface_135</v>
      </c>
      <c r="B1597" s="501" t="s">
        <v>992</v>
      </c>
      <c r="C1597" s="429">
        <v>0</v>
      </c>
      <c r="D1597" s="429">
        <v>135</v>
      </c>
      <c r="E1597" s="431">
        <v>4.1100000000000003</v>
      </c>
      <c r="F1597" s="431">
        <v>5.07</v>
      </c>
      <c r="G1597" s="431">
        <v>6.03</v>
      </c>
      <c r="H1597" s="431">
        <v>6.32</v>
      </c>
      <c r="I1597" s="431">
        <v>6.63</v>
      </c>
      <c r="J1597" s="431">
        <v>6.36</v>
      </c>
      <c r="K1597" s="431">
        <v>6.03</v>
      </c>
      <c r="L1597" s="431">
        <v>5.9</v>
      </c>
      <c r="M1597" s="431">
        <v>5.07</v>
      </c>
      <c r="N1597" s="431">
        <v>4.95</v>
      </c>
      <c r="O1597" s="431">
        <v>4.58</v>
      </c>
      <c r="P1597" s="431">
        <v>3.95</v>
      </c>
      <c r="Q1597" s="179">
        <f t="shared" si="47"/>
        <v>5.416666666666667</v>
      </c>
      <c r="R1597" s="179" t="s">
        <v>994</v>
      </c>
    </row>
    <row r="1598" spans="1:18" x14ac:dyDescent="0.15">
      <c r="A1598" s="179" t="str">
        <f t="shared" si="46"/>
        <v>San Luis Potosi_Flat Surface_157.5</v>
      </c>
      <c r="B1598" s="501" t="s">
        <v>992</v>
      </c>
      <c r="C1598" s="429">
        <v>0</v>
      </c>
      <c r="D1598" s="429">
        <v>157.5</v>
      </c>
      <c r="E1598" s="431">
        <v>4.1100000000000003</v>
      </c>
      <c r="F1598" s="431">
        <v>5.07</v>
      </c>
      <c r="G1598" s="431">
        <v>6.03</v>
      </c>
      <c r="H1598" s="431">
        <v>6.32</v>
      </c>
      <c r="I1598" s="431">
        <v>6.63</v>
      </c>
      <c r="J1598" s="431">
        <v>6.36</v>
      </c>
      <c r="K1598" s="431">
        <v>6.03</v>
      </c>
      <c r="L1598" s="431">
        <v>5.9</v>
      </c>
      <c r="M1598" s="431">
        <v>5.07</v>
      </c>
      <c r="N1598" s="431">
        <v>4.95</v>
      </c>
      <c r="O1598" s="431">
        <v>4.58</v>
      </c>
      <c r="P1598" s="431">
        <v>3.95</v>
      </c>
      <c r="Q1598" s="179">
        <f t="shared" si="47"/>
        <v>5.416666666666667</v>
      </c>
      <c r="R1598" s="179" t="s">
        <v>994</v>
      </c>
    </row>
    <row r="1599" spans="1:18" x14ac:dyDescent="0.15">
      <c r="A1599" s="179" t="str">
        <f t="shared" si="46"/>
        <v>San Luis Potosi_Flat Surface_180</v>
      </c>
      <c r="B1599" s="501" t="s">
        <v>992</v>
      </c>
      <c r="C1599" s="429">
        <v>0</v>
      </c>
      <c r="D1599" s="429">
        <v>180</v>
      </c>
      <c r="E1599" s="431">
        <v>4.1100000000000003</v>
      </c>
      <c r="F1599" s="431">
        <v>5.07</v>
      </c>
      <c r="G1599" s="431">
        <v>6.03</v>
      </c>
      <c r="H1599" s="431">
        <v>6.32</v>
      </c>
      <c r="I1599" s="431">
        <v>6.63</v>
      </c>
      <c r="J1599" s="431">
        <v>6.36</v>
      </c>
      <c r="K1599" s="431">
        <v>6.03</v>
      </c>
      <c r="L1599" s="431">
        <v>5.9</v>
      </c>
      <c r="M1599" s="431">
        <v>5.07</v>
      </c>
      <c r="N1599" s="431">
        <v>4.95</v>
      </c>
      <c r="O1599" s="431">
        <v>4.58</v>
      </c>
      <c r="P1599" s="431">
        <v>3.95</v>
      </c>
      <c r="Q1599" s="179">
        <f t="shared" si="47"/>
        <v>5.416666666666667</v>
      </c>
      <c r="R1599" s="179" t="s">
        <v>994</v>
      </c>
    </row>
    <row r="1600" spans="1:18" x14ac:dyDescent="0.15">
      <c r="A1600" s="179" t="str">
        <f t="shared" si="46"/>
        <v>San Luis Potosi_Flat Surface_202.5</v>
      </c>
      <c r="B1600" s="501" t="s">
        <v>992</v>
      </c>
      <c r="C1600" s="429">
        <v>0</v>
      </c>
      <c r="D1600" s="429">
        <v>202.5</v>
      </c>
      <c r="E1600" s="431">
        <v>4.1100000000000003</v>
      </c>
      <c r="F1600" s="431">
        <v>5.07</v>
      </c>
      <c r="G1600" s="431">
        <v>6.03</v>
      </c>
      <c r="H1600" s="431">
        <v>6.32</v>
      </c>
      <c r="I1600" s="431">
        <v>6.63</v>
      </c>
      <c r="J1600" s="431">
        <v>6.36</v>
      </c>
      <c r="K1600" s="431">
        <v>6.03</v>
      </c>
      <c r="L1600" s="431">
        <v>5.9</v>
      </c>
      <c r="M1600" s="431">
        <v>5.07</v>
      </c>
      <c r="N1600" s="431">
        <v>4.95</v>
      </c>
      <c r="O1600" s="431">
        <v>4.58</v>
      </c>
      <c r="P1600" s="431">
        <v>3.95</v>
      </c>
      <c r="Q1600" s="179">
        <f t="shared" si="47"/>
        <v>5.416666666666667</v>
      </c>
      <c r="R1600" s="179" t="s">
        <v>994</v>
      </c>
    </row>
    <row r="1601" spans="1:18" x14ac:dyDescent="0.15">
      <c r="A1601" s="179" t="str">
        <f t="shared" si="46"/>
        <v>San Luis Potosi_Flat Surface_225</v>
      </c>
      <c r="B1601" s="501" t="s">
        <v>992</v>
      </c>
      <c r="C1601" s="429">
        <v>0</v>
      </c>
      <c r="D1601" s="429">
        <v>225</v>
      </c>
      <c r="E1601" s="431">
        <v>4.1100000000000003</v>
      </c>
      <c r="F1601" s="431">
        <v>5.07</v>
      </c>
      <c r="G1601" s="431">
        <v>6.03</v>
      </c>
      <c r="H1601" s="431">
        <v>6.32</v>
      </c>
      <c r="I1601" s="431">
        <v>6.63</v>
      </c>
      <c r="J1601" s="431">
        <v>6.36</v>
      </c>
      <c r="K1601" s="431">
        <v>6.03</v>
      </c>
      <c r="L1601" s="431">
        <v>5.9</v>
      </c>
      <c r="M1601" s="431">
        <v>5.07</v>
      </c>
      <c r="N1601" s="431">
        <v>4.95</v>
      </c>
      <c r="O1601" s="431">
        <v>4.58</v>
      </c>
      <c r="P1601" s="431">
        <v>3.95</v>
      </c>
      <c r="Q1601" s="179">
        <f t="shared" si="47"/>
        <v>5.416666666666667</v>
      </c>
      <c r="R1601" s="179" t="s">
        <v>994</v>
      </c>
    </row>
    <row r="1602" spans="1:18" x14ac:dyDescent="0.15">
      <c r="A1602" s="179" t="str">
        <f t="shared" ref="A1602:A1665" si="48">B1602&amp;"_"&amp;R1602&amp;"_"&amp;D1602</f>
        <v>San Luis Potosi_Flat Surface_247.5</v>
      </c>
      <c r="B1602" s="501" t="s">
        <v>992</v>
      </c>
      <c r="C1602" s="429">
        <v>0</v>
      </c>
      <c r="D1602" s="429">
        <v>247.5</v>
      </c>
      <c r="E1602" s="431">
        <v>4.1100000000000003</v>
      </c>
      <c r="F1602" s="431">
        <v>5.07</v>
      </c>
      <c r="G1602" s="431">
        <v>6.03</v>
      </c>
      <c r="H1602" s="431">
        <v>6.32</v>
      </c>
      <c r="I1602" s="431">
        <v>6.63</v>
      </c>
      <c r="J1602" s="431">
        <v>6.36</v>
      </c>
      <c r="K1602" s="431">
        <v>6.03</v>
      </c>
      <c r="L1602" s="431">
        <v>5.9</v>
      </c>
      <c r="M1602" s="431">
        <v>5.07</v>
      </c>
      <c r="N1602" s="431">
        <v>4.95</v>
      </c>
      <c r="O1602" s="431">
        <v>4.58</v>
      </c>
      <c r="P1602" s="431">
        <v>3.95</v>
      </c>
      <c r="Q1602" s="179">
        <f t="shared" ref="Q1602:Q1665" si="49">AVERAGE(E1602:P1602)</f>
        <v>5.416666666666667</v>
      </c>
      <c r="R1602" s="179" t="s">
        <v>994</v>
      </c>
    </row>
    <row r="1603" spans="1:18" x14ac:dyDescent="0.15">
      <c r="A1603" s="179" t="str">
        <f t="shared" si="48"/>
        <v>San Luis Potosi_Flat Surface_270</v>
      </c>
      <c r="B1603" s="501" t="s">
        <v>992</v>
      </c>
      <c r="C1603" s="429">
        <v>0</v>
      </c>
      <c r="D1603" s="429">
        <v>270</v>
      </c>
      <c r="E1603" s="431">
        <v>4.1100000000000003</v>
      </c>
      <c r="F1603" s="431">
        <v>5.07</v>
      </c>
      <c r="G1603" s="431">
        <v>6.03</v>
      </c>
      <c r="H1603" s="431">
        <v>6.32</v>
      </c>
      <c r="I1603" s="431">
        <v>6.63</v>
      </c>
      <c r="J1603" s="431">
        <v>6.36</v>
      </c>
      <c r="K1603" s="431">
        <v>6.03</v>
      </c>
      <c r="L1603" s="431">
        <v>5.9</v>
      </c>
      <c r="M1603" s="431">
        <v>5.07</v>
      </c>
      <c r="N1603" s="431">
        <v>4.95</v>
      </c>
      <c r="O1603" s="431">
        <v>4.58</v>
      </c>
      <c r="P1603" s="431">
        <v>3.95</v>
      </c>
      <c r="Q1603" s="179">
        <f t="shared" si="49"/>
        <v>5.416666666666667</v>
      </c>
      <c r="R1603" s="179" t="s">
        <v>994</v>
      </c>
    </row>
    <row r="1604" spans="1:18" x14ac:dyDescent="0.15">
      <c r="A1604" s="179" t="str">
        <f t="shared" si="48"/>
        <v>San Luis Potosi_Optimal Summer_90</v>
      </c>
      <c r="B1604" s="501" t="s">
        <v>992</v>
      </c>
      <c r="C1604" s="429">
        <v>7</v>
      </c>
      <c r="D1604" s="429">
        <v>90</v>
      </c>
      <c r="E1604" s="431">
        <v>3.58</v>
      </c>
      <c r="F1604" s="431">
        <v>4.33</v>
      </c>
      <c r="G1604" s="431">
        <v>5</v>
      </c>
      <c r="H1604" s="431">
        <v>5.0999999999999996</v>
      </c>
      <c r="I1604" s="431">
        <v>5.23</v>
      </c>
      <c r="J1604" s="431">
        <v>5.14</v>
      </c>
      <c r="K1604" s="431">
        <v>4.74</v>
      </c>
      <c r="L1604" s="431">
        <v>4.72</v>
      </c>
      <c r="M1604" s="431">
        <v>4.1399999999999997</v>
      </c>
      <c r="N1604" s="431">
        <v>4.18</v>
      </c>
      <c r="O1604" s="431">
        <v>4.01</v>
      </c>
      <c r="P1604" s="431">
        <v>3.47</v>
      </c>
      <c r="Q1604" s="179">
        <f t="shared" si="49"/>
        <v>4.47</v>
      </c>
      <c r="R1604" s="179" t="s">
        <v>958</v>
      </c>
    </row>
    <row r="1605" spans="1:18" x14ac:dyDescent="0.15">
      <c r="A1605" s="179" t="str">
        <f t="shared" si="48"/>
        <v>San Luis Potosi_Optimal Summer_112.5</v>
      </c>
      <c r="B1605" s="501" t="s">
        <v>992</v>
      </c>
      <c r="C1605" s="429">
        <v>7</v>
      </c>
      <c r="D1605" s="429">
        <v>112.5</v>
      </c>
      <c r="E1605" s="431">
        <v>3.92</v>
      </c>
      <c r="F1605" s="431">
        <v>4.7300000000000004</v>
      </c>
      <c r="G1605" s="431">
        <v>5.47</v>
      </c>
      <c r="H1605" s="431">
        <v>5.57</v>
      </c>
      <c r="I1605" s="431">
        <v>5.72</v>
      </c>
      <c r="J1605" s="431">
        <v>5.62</v>
      </c>
      <c r="K1605" s="431">
        <v>5.19</v>
      </c>
      <c r="L1605" s="431">
        <v>5.16</v>
      </c>
      <c r="M1605" s="431">
        <v>4.5199999999999996</v>
      </c>
      <c r="N1605" s="431">
        <v>4.57</v>
      </c>
      <c r="O1605" s="431">
        <v>4.38</v>
      </c>
      <c r="P1605" s="431">
        <v>3.8</v>
      </c>
      <c r="Q1605" s="179">
        <f t="shared" si="49"/>
        <v>4.8874999999999993</v>
      </c>
      <c r="R1605" s="179" t="s">
        <v>958</v>
      </c>
    </row>
    <row r="1606" spans="1:18" x14ac:dyDescent="0.15">
      <c r="A1606" s="179" t="str">
        <f t="shared" si="48"/>
        <v>San Luis Potosi_Optimal Summer_135</v>
      </c>
      <c r="B1606" s="501" t="s">
        <v>992</v>
      </c>
      <c r="C1606" s="429">
        <v>7</v>
      </c>
      <c r="D1606" s="429">
        <v>135</v>
      </c>
      <c r="E1606" s="431">
        <v>4.26</v>
      </c>
      <c r="F1606" s="431">
        <v>5.14</v>
      </c>
      <c r="G1606" s="431">
        <v>5.94</v>
      </c>
      <c r="H1606" s="431">
        <v>6.05</v>
      </c>
      <c r="I1606" s="431">
        <v>6.21</v>
      </c>
      <c r="J1606" s="431">
        <v>6.1</v>
      </c>
      <c r="K1606" s="431">
        <v>5.63</v>
      </c>
      <c r="L1606" s="431">
        <v>5.6</v>
      </c>
      <c r="M1606" s="431">
        <v>4.91</v>
      </c>
      <c r="N1606" s="431">
        <v>4.96</v>
      </c>
      <c r="O1606" s="431">
        <v>4.76</v>
      </c>
      <c r="P1606" s="431">
        <v>4.12</v>
      </c>
      <c r="Q1606" s="179">
        <f t="shared" si="49"/>
        <v>5.3066666666666666</v>
      </c>
      <c r="R1606" s="179" t="s">
        <v>958</v>
      </c>
    </row>
    <row r="1607" spans="1:18" x14ac:dyDescent="0.15">
      <c r="A1607" s="179" t="str">
        <f t="shared" si="48"/>
        <v>San Luis Potosi_Optimal Summer_157.5</v>
      </c>
      <c r="B1607" s="501" t="s">
        <v>992</v>
      </c>
      <c r="C1607" s="429">
        <v>7</v>
      </c>
      <c r="D1607" s="429">
        <v>157.5</v>
      </c>
      <c r="E1607" s="431">
        <v>4.37</v>
      </c>
      <c r="F1607" s="431">
        <v>5.27</v>
      </c>
      <c r="G1607" s="431">
        <v>6.09</v>
      </c>
      <c r="H1607" s="431">
        <v>6.21</v>
      </c>
      <c r="I1607" s="431">
        <v>6.38</v>
      </c>
      <c r="J1607" s="431">
        <v>6.26</v>
      </c>
      <c r="K1607" s="431">
        <v>5.78</v>
      </c>
      <c r="L1607" s="431">
        <v>5.75</v>
      </c>
      <c r="M1607" s="431">
        <v>5.04</v>
      </c>
      <c r="N1607" s="431">
        <v>5.09</v>
      </c>
      <c r="O1607" s="431">
        <v>4.88</v>
      </c>
      <c r="P1607" s="431">
        <v>4.2300000000000004</v>
      </c>
      <c r="Q1607" s="179">
        <f t="shared" si="49"/>
        <v>5.4458333333333329</v>
      </c>
      <c r="R1607" s="179" t="s">
        <v>958</v>
      </c>
    </row>
    <row r="1608" spans="1:18" x14ac:dyDescent="0.15">
      <c r="A1608" s="179" t="str">
        <f t="shared" si="48"/>
        <v>San Luis Potosi_Optimal Summer_180</v>
      </c>
      <c r="B1608" s="501" t="s">
        <v>992</v>
      </c>
      <c r="C1608" s="429">
        <v>7</v>
      </c>
      <c r="D1608" s="429">
        <v>180</v>
      </c>
      <c r="E1608" s="431">
        <v>4.4800000000000004</v>
      </c>
      <c r="F1608" s="431">
        <v>5.41</v>
      </c>
      <c r="G1608" s="431">
        <v>6.25</v>
      </c>
      <c r="H1608" s="431">
        <v>6.37</v>
      </c>
      <c r="I1608" s="431">
        <v>6.54</v>
      </c>
      <c r="J1608" s="431">
        <v>6.42</v>
      </c>
      <c r="K1608" s="431">
        <v>5.93</v>
      </c>
      <c r="L1608" s="431">
        <v>5.9</v>
      </c>
      <c r="M1608" s="431">
        <v>5.17</v>
      </c>
      <c r="N1608" s="431">
        <v>5.22</v>
      </c>
      <c r="O1608" s="431">
        <v>5.01</v>
      </c>
      <c r="P1608" s="431">
        <v>4.34</v>
      </c>
      <c r="Q1608" s="179">
        <f t="shared" si="49"/>
        <v>5.586666666666666</v>
      </c>
      <c r="R1608" s="179" t="s">
        <v>958</v>
      </c>
    </row>
    <row r="1609" spans="1:18" x14ac:dyDescent="0.15">
      <c r="A1609" s="179" t="str">
        <f t="shared" si="48"/>
        <v>San Luis Potosi_Optimal Summer_202.5</v>
      </c>
      <c r="B1609" s="501" t="s">
        <v>992</v>
      </c>
      <c r="C1609" s="429">
        <v>7</v>
      </c>
      <c r="D1609" s="429">
        <v>202.5</v>
      </c>
      <c r="E1609" s="431">
        <v>4.37</v>
      </c>
      <c r="F1609" s="431">
        <v>5.27</v>
      </c>
      <c r="G1609" s="431">
        <v>6.09</v>
      </c>
      <c r="H1609" s="431">
        <v>6.21</v>
      </c>
      <c r="I1609" s="431">
        <v>6.38</v>
      </c>
      <c r="J1609" s="431">
        <v>6.26</v>
      </c>
      <c r="K1609" s="431">
        <v>5.78</v>
      </c>
      <c r="L1609" s="431">
        <v>5.75</v>
      </c>
      <c r="M1609" s="431">
        <v>5.04</v>
      </c>
      <c r="N1609" s="431">
        <v>5.09</v>
      </c>
      <c r="O1609" s="431">
        <v>4.88</v>
      </c>
      <c r="P1609" s="431">
        <v>4.2300000000000004</v>
      </c>
      <c r="Q1609" s="179">
        <f t="shared" si="49"/>
        <v>5.4458333333333329</v>
      </c>
      <c r="R1609" s="179" t="s">
        <v>958</v>
      </c>
    </row>
    <row r="1610" spans="1:18" x14ac:dyDescent="0.15">
      <c r="A1610" s="179" t="str">
        <f t="shared" si="48"/>
        <v>San Luis Potosi_Optimal Summer_225</v>
      </c>
      <c r="B1610" s="501" t="s">
        <v>992</v>
      </c>
      <c r="C1610" s="429">
        <v>7</v>
      </c>
      <c r="D1610" s="429">
        <v>225</v>
      </c>
      <c r="E1610" s="429">
        <v>4.26</v>
      </c>
      <c r="F1610" s="429">
        <v>5.14</v>
      </c>
      <c r="G1610" s="429">
        <v>5.94</v>
      </c>
      <c r="H1610" s="429">
        <v>6.05</v>
      </c>
      <c r="I1610" s="429">
        <v>6.21</v>
      </c>
      <c r="J1610" s="429">
        <v>6.1</v>
      </c>
      <c r="K1610" s="429">
        <v>5.63</v>
      </c>
      <c r="L1610" s="429">
        <v>5.6</v>
      </c>
      <c r="M1610" s="429">
        <v>4.91</v>
      </c>
      <c r="N1610" s="429">
        <v>4.96</v>
      </c>
      <c r="O1610" s="429">
        <v>4.76</v>
      </c>
      <c r="P1610" s="429">
        <v>4.12</v>
      </c>
      <c r="Q1610" s="179">
        <f t="shared" si="49"/>
        <v>5.3066666666666666</v>
      </c>
      <c r="R1610" s="179" t="s">
        <v>958</v>
      </c>
    </row>
    <row r="1611" spans="1:18" x14ac:dyDescent="0.15">
      <c r="A1611" s="179" t="str">
        <f t="shared" si="48"/>
        <v>San Luis Potosi_Optimal Summer_247.5</v>
      </c>
      <c r="B1611" s="501" t="s">
        <v>992</v>
      </c>
      <c r="C1611" s="429">
        <v>7</v>
      </c>
      <c r="D1611" s="429">
        <v>247.5</v>
      </c>
      <c r="E1611" s="429">
        <v>3.92</v>
      </c>
      <c r="F1611" s="429">
        <v>4.7300000000000004</v>
      </c>
      <c r="G1611" s="429">
        <v>5.47</v>
      </c>
      <c r="H1611" s="429">
        <v>5.57</v>
      </c>
      <c r="I1611" s="429">
        <v>5.72</v>
      </c>
      <c r="J1611" s="429">
        <v>5.62</v>
      </c>
      <c r="K1611" s="429">
        <v>5.19</v>
      </c>
      <c r="L1611" s="429">
        <v>5.16</v>
      </c>
      <c r="M1611" s="429">
        <v>4.5199999999999996</v>
      </c>
      <c r="N1611" s="429">
        <v>4.57</v>
      </c>
      <c r="O1611" s="429">
        <v>4.38</v>
      </c>
      <c r="P1611" s="429">
        <v>3.8</v>
      </c>
      <c r="Q1611" s="179">
        <f t="shared" si="49"/>
        <v>4.8874999999999993</v>
      </c>
      <c r="R1611" s="179" t="s">
        <v>958</v>
      </c>
    </row>
    <row r="1612" spans="1:18" x14ac:dyDescent="0.15">
      <c r="A1612" s="179" t="str">
        <f t="shared" si="48"/>
        <v>San Luis Potosi_Optimal Summer_270</v>
      </c>
      <c r="B1612" s="501" t="s">
        <v>992</v>
      </c>
      <c r="C1612" s="429">
        <v>7</v>
      </c>
      <c r="D1612" s="429">
        <v>270</v>
      </c>
      <c r="E1612" s="429">
        <v>3.58</v>
      </c>
      <c r="F1612" s="429">
        <v>4.33</v>
      </c>
      <c r="G1612" s="429">
        <v>5</v>
      </c>
      <c r="H1612" s="429">
        <v>5.0999999999999996</v>
      </c>
      <c r="I1612" s="429">
        <v>5.23</v>
      </c>
      <c r="J1612" s="429">
        <v>5.14</v>
      </c>
      <c r="K1612" s="429">
        <v>4.74</v>
      </c>
      <c r="L1612" s="429">
        <v>4.72</v>
      </c>
      <c r="M1612" s="429">
        <v>4.1399999999999997</v>
      </c>
      <c r="N1612" s="429">
        <v>4.18</v>
      </c>
      <c r="O1612" s="429">
        <v>4.01</v>
      </c>
      <c r="P1612" s="429">
        <v>3.47</v>
      </c>
      <c r="Q1612" s="179">
        <f t="shared" si="49"/>
        <v>4.47</v>
      </c>
      <c r="R1612" s="179" t="s">
        <v>958</v>
      </c>
    </row>
    <row r="1613" spans="1:18" x14ac:dyDescent="0.15">
      <c r="A1613" s="179" t="str">
        <f t="shared" si="48"/>
        <v>San Luis Potosi_Optimal Year Round_90</v>
      </c>
      <c r="B1613" s="501" t="s">
        <v>992</v>
      </c>
      <c r="C1613" s="429">
        <v>22</v>
      </c>
      <c r="D1613" s="429">
        <v>90</v>
      </c>
      <c r="E1613" s="431">
        <v>4.07</v>
      </c>
      <c r="F1613" s="431">
        <v>4.74</v>
      </c>
      <c r="G1613" s="431">
        <v>5.19</v>
      </c>
      <c r="H1613" s="431">
        <v>5</v>
      </c>
      <c r="I1613" s="431">
        <v>4.9000000000000004</v>
      </c>
      <c r="J1613" s="431">
        <v>5.05</v>
      </c>
      <c r="K1613" s="431">
        <v>4.42</v>
      </c>
      <c r="L1613" s="431">
        <v>4.55</v>
      </c>
      <c r="M1613" s="431">
        <v>4.17</v>
      </c>
      <c r="N1613" s="431">
        <v>4.46</v>
      </c>
      <c r="O1613" s="431">
        <v>4.5599999999999996</v>
      </c>
      <c r="P1613" s="431">
        <v>4.01</v>
      </c>
      <c r="Q1613" s="179">
        <f t="shared" si="49"/>
        <v>4.5933333333333328</v>
      </c>
      <c r="R1613" s="179" t="s">
        <v>993</v>
      </c>
    </row>
    <row r="1614" spans="1:18" x14ac:dyDescent="0.15">
      <c r="A1614" s="179" t="str">
        <f t="shared" si="48"/>
        <v>San Luis Potosi_Optimal Year Round_112.5</v>
      </c>
      <c r="B1614" s="501" t="s">
        <v>992</v>
      </c>
      <c r="C1614" s="429">
        <v>22</v>
      </c>
      <c r="D1614" s="429">
        <v>112.5</v>
      </c>
      <c r="E1614" s="431">
        <v>4.45</v>
      </c>
      <c r="F1614" s="431">
        <v>5.19</v>
      </c>
      <c r="G1614" s="431">
        <v>5.68</v>
      </c>
      <c r="H1614" s="431">
        <v>5.47</v>
      </c>
      <c r="I1614" s="431">
        <v>5.36</v>
      </c>
      <c r="J1614" s="431">
        <v>5.52</v>
      </c>
      <c r="K1614" s="431">
        <v>4.83</v>
      </c>
      <c r="L1614" s="431">
        <v>4.9800000000000004</v>
      </c>
      <c r="M1614" s="431">
        <v>4.5599999999999996</v>
      </c>
      <c r="N1614" s="431">
        <v>4.88</v>
      </c>
      <c r="O1614" s="431">
        <v>4.99</v>
      </c>
      <c r="P1614" s="431">
        <v>4.38</v>
      </c>
      <c r="Q1614" s="179">
        <f t="shared" si="49"/>
        <v>5.0241666666666678</v>
      </c>
      <c r="R1614" s="179" t="s">
        <v>993</v>
      </c>
    </row>
    <row r="1615" spans="1:18" x14ac:dyDescent="0.15">
      <c r="A1615" s="179" t="str">
        <f t="shared" si="48"/>
        <v>San Luis Potosi_Optimal Year Round_135</v>
      </c>
      <c r="B1615" s="501" t="s">
        <v>992</v>
      </c>
      <c r="C1615" s="429">
        <v>22</v>
      </c>
      <c r="D1615" s="429">
        <v>135</v>
      </c>
      <c r="E1615" s="431">
        <v>4.84</v>
      </c>
      <c r="F1615" s="431">
        <v>5.63</v>
      </c>
      <c r="G1615" s="431">
        <v>6.17</v>
      </c>
      <c r="H1615" s="431">
        <v>5.94</v>
      </c>
      <c r="I1615" s="431">
        <v>5.81</v>
      </c>
      <c r="J1615" s="431">
        <v>5.99</v>
      </c>
      <c r="K1615" s="431">
        <v>5.24</v>
      </c>
      <c r="L1615" s="431">
        <v>5.41</v>
      </c>
      <c r="M1615" s="431">
        <v>4.95</v>
      </c>
      <c r="N1615" s="431">
        <v>5.3</v>
      </c>
      <c r="O1615" s="431">
        <v>5.42</v>
      </c>
      <c r="P1615" s="431">
        <v>4.76</v>
      </c>
      <c r="Q1615" s="179">
        <f t="shared" si="49"/>
        <v>5.455000000000001</v>
      </c>
      <c r="R1615" s="179" t="s">
        <v>993</v>
      </c>
    </row>
    <row r="1616" spans="1:18" x14ac:dyDescent="0.15">
      <c r="A1616" s="179" t="str">
        <f t="shared" si="48"/>
        <v>San Luis Potosi_Optimal Year Round_157.5</v>
      </c>
      <c r="B1616" s="501" t="s">
        <v>992</v>
      </c>
      <c r="C1616" s="429">
        <v>22</v>
      </c>
      <c r="D1616" s="429">
        <v>157.5</v>
      </c>
      <c r="E1616" s="431">
        <v>4.96</v>
      </c>
      <c r="F1616" s="431">
        <v>5.78</v>
      </c>
      <c r="G1616" s="431">
        <v>6.33</v>
      </c>
      <c r="H1616" s="431">
        <v>6.09</v>
      </c>
      <c r="I1616" s="431">
        <v>5.97</v>
      </c>
      <c r="J1616" s="431">
        <v>6.15</v>
      </c>
      <c r="K1616" s="431">
        <v>5.38</v>
      </c>
      <c r="L1616" s="431">
        <v>5.55</v>
      </c>
      <c r="M1616" s="431">
        <v>5.08</v>
      </c>
      <c r="N1616" s="431">
        <v>5.44</v>
      </c>
      <c r="O1616" s="431">
        <v>5.56</v>
      </c>
      <c r="P1616" s="431">
        <v>4.88</v>
      </c>
      <c r="Q1616" s="179">
        <f t="shared" si="49"/>
        <v>5.5975000000000001</v>
      </c>
      <c r="R1616" s="179" t="s">
        <v>993</v>
      </c>
    </row>
    <row r="1617" spans="1:18" x14ac:dyDescent="0.15">
      <c r="A1617" s="179" t="str">
        <f t="shared" si="48"/>
        <v>San Luis Potosi_Optimal Year Round_180</v>
      </c>
      <c r="B1617" s="501" t="s">
        <v>992</v>
      </c>
      <c r="C1617" s="429">
        <v>22</v>
      </c>
      <c r="D1617" s="429">
        <v>180</v>
      </c>
      <c r="E1617" s="431">
        <v>5.09</v>
      </c>
      <c r="F1617" s="431">
        <v>5.93</v>
      </c>
      <c r="G1617" s="431">
        <v>6.49</v>
      </c>
      <c r="H1617" s="431">
        <v>6.25</v>
      </c>
      <c r="I1617" s="431">
        <v>6.12</v>
      </c>
      <c r="J1617" s="431">
        <v>6.31</v>
      </c>
      <c r="K1617" s="431">
        <v>5.52</v>
      </c>
      <c r="L1617" s="431">
        <v>5.69</v>
      </c>
      <c r="M1617" s="431">
        <v>5.21</v>
      </c>
      <c r="N1617" s="431">
        <v>5.58</v>
      </c>
      <c r="O1617" s="431">
        <v>5.7</v>
      </c>
      <c r="P1617" s="431">
        <v>5.01</v>
      </c>
      <c r="Q1617" s="179">
        <f t="shared" si="49"/>
        <v>5.7416666666666663</v>
      </c>
      <c r="R1617" s="179" t="s">
        <v>993</v>
      </c>
    </row>
    <row r="1618" spans="1:18" x14ac:dyDescent="0.15">
      <c r="A1618" s="179" t="str">
        <f t="shared" si="48"/>
        <v>San Luis Potosi_Optimal Year Round_202.5</v>
      </c>
      <c r="B1618" s="501" t="s">
        <v>992</v>
      </c>
      <c r="C1618" s="429">
        <v>22</v>
      </c>
      <c r="D1618" s="429">
        <v>202.5</v>
      </c>
      <c r="E1618" s="431">
        <v>4.96</v>
      </c>
      <c r="F1618" s="431">
        <v>5.78</v>
      </c>
      <c r="G1618" s="431">
        <v>6.33</v>
      </c>
      <c r="H1618" s="431">
        <v>6.09</v>
      </c>
      <c r="I1618" s="431">
        <v>5.97</v>
      </c>
      <c r="J1618" s="431">
        <v>6.15</v>
      </c>
      <c r="K1618" s="431">
        <v>5.38</v>
      </c>
      <c r="L1618" s="431">
        <v>5.55</v>
      </c>
      <c r="M1618" s="431">
        <v>5.08</v>
      </c>
      <c r="N1618" s="431">
        <v>5.44</v>
      </c>
      <c r="O1618" s="431">
        <v>5.56</v>
      </c>
      <c r="P1618" s="431">
        <v>4.88</v>
      </c>
      <c r="Q1618" s="179">
        <f t="shared" si="49"/>
        <v>5.5975000000000001</v>
      </c>
      <c r="R1618" s="179" t="s">
        <v>993</v>
      </c>
    </row>
    <row r="1619" spans="1:18" x14ac:dyDescent="0.15">
      <c r="A1619" s="179" t="str">
        <f t="shared" si="48"/>
        <v>San Luis Potosi_Optimal Year Round_225</v>
      </c>
      <c r="B1619" s="501" t="s">
        <v>992</v>
      </c>
      <c r="C1619" s="429">
        <v>22</v>
      </c>
      <c r="D1619" s="429">
        <v>225</v>
      </c>
      <c r="E1619" s="429">
        <v>4.84</v>
      </c>
      <c r="F1619" s="429">
        <v>5.63</v>
      </c>
      <c r="G1619" s="429">
        <v>6.17</v>
      </c>
      <c r="H1619" s="429">
        <v>5.94</v>
      </c>
      <c r="I1619" s="429">
        <v>5.81</v>
      </c>
      <c r="J1619" s="429">
        <v>5.99</v>
      </c>
      <c r="K1619" s="429">
        <v>5.24</v>
      </c>
      <c r="L1619" s="429">
        <v>5.41</v>
      </c>
      <c r="M1619" s="429">
        <v>4.95</v>
      </c>
      <c r="N1619" s="429">
        <v>5.3</v>
      </c>
      <c r="O1619" s="429">
        <v>5.42</v>
      </c>
      <c r="P1619" s="429">
        <v>4.76</v>
      </c>
      <c r="Q1619" s="179">
        <f t="shared" si="49"/>
        <v>5.455000000000001</v>
      </c>
      <c r="R1619" s="179" t="s">
        <v>993</v>
      </c>
    </row>
    <row r="1620" spans="1:18" x14ac:dyDescent="0.15">
      <c r="A1620" s="179" t="str">
        <f t="shared" si="48"/>
        <v>San Luis Potosi_Optimal Year Round_247.5</v>
      </c>
      <c r="B1620" s="501" t="s">
        <v>992</v>
      </c>
      <c r="C1620" s="429">
        <v>22</v>
      </c>
      <c r="D1620" s="429">
        <v>247.5</v>
      </c>
      <c r="E1620" s="429">
        <v>4.45</v>
      </c>
      <c r="F1620" s="429">
        <v>5.19</v>
      </c>
      <c r="G1620" s="429">
        <v>5.68</v>
      </c>
      <c r="H1620" s="429">
        <v>5.47</v>
      </c>
      <c r="I1620" s="429">
        <v>5.36</v>
      </c>
      <c r="J1620" s="429">
        <v>5.52</v>
      </c>
      <c r="K1620" s="429">
        <v>4.83</v>
      </c>
      <c r="L1620" s="429">
        <v>4.9800000000000004</v>
      </c>
      <c r="M1620" s="429">
        <v>4.5599999999999996</v>
      </c>
      <c r="N1620" s="429">
        <v>4.88</v>
      </c>
      <c r="O1620" s="429">
        <v>4.99</v>
      </c>
      <c r="P1620" s="429">
        <v>4.38</v>
      </c>
      <c r="Q1620" s="179">
        <f t="shared" si="49"/>
        <v>5.0241666666666678</v>
      </c>
      <c r="R1620" s="179" t="s">
        <v>993</v>
      </c>
    </row>
    <row r="1621" spans="1:18" x14ac:dyDescent="0.15">
      <c r="A1621" s="179" t="str">
        <f t="shared" si="48"/>
        <v>San Luis Potosi_Optimal Year Round_270</v>
      </c>
      <c r="B1621" s="501" t="s">
        <v>992</v>
      </c>
      <c r="C1621" s="429">
        <v>22</v>
      </c>
      <c r="D1621" s="429">
        <v>270</v>
      </c>
      <c r="E1621" s="429">
        <v>4.07</v>
      </c>
      <c r="F1621" s="429">
        <v>4.74</v>
      </c>
      <c r="G1621" s="429">
        <v>5.19</v>
      </c>
      <c r="H1621" s="429">
        <v>5</v>
      </c>
      <c r="I1621" s="429">
        <v>4.9000000000000004</v>
      </c>
      <c r="J1621" s="429">
        <v>5.05</v>
      </c>
      <c r="K1621" s="429">
        <v>4.42</v>
      </c>
      <c r="L1621" s="429">
        <v>4.55</v>
      </c>
      <c r="M1621" s="429">
        <v>4.17</v>
      </c>
      <c r="N1621" s="429">
        <v>4.46</v>
      </c>
      <c r="O1621" s="429">
        <v>4.5599999999999996</v>
      </c>
      <c r="P1621" s="429">
        <v>4.01</v>
      </c>
      <c r="Q1621" s="179">
        <f t="shared" si="49"/>
        <v>4.5933333333333328</v>
      </c>
      <c r="R1621" s="179" t="s">
        <v>993</v>
      </c>
    </row>
    <row r="1622" spans="1:18" x14ac:dyDescent="0.15">
      <c r="A1622" s="179" t="str">
        <f t="shared" si="48"/>
        <v>San Nicolas de los Garza_Flat Surface_90</v>
      </c>
      <c r="B1622" s="501" t="s">
        <v>1010</v>
      </c>
      <c r="C1622" s="429">
        <v>0</v>
      </c>
      <c r="D1622" s="429">
        <v>90</v>
      </c>
      <c r="E1622" s="431">
        <v>3.72</v>
      </c>
      <c r="F1622" s="431">
        <v>4.57</v>
      </c>
      <c r="G1622" s="431">
        <v>5.66</v>
      </c>
      <c r="H1622" s="431">
        <v>5.82</v>
      </c>
      <c r="I1622" s="431">
        <v>6.24</v>
      </c>
      <c r="J1622" s="431">
        <v>6.16</v>
      </c>
      <c r="K1622" s="431">
        <v>6.03</v>
      </c>
      <c r="L1622" s="431">
        <v>5.71</v>
      </c>
      <c r="M1622" s="431">
        <v>4.9800000000000004</v>
      </c>
      <c r="N1622" s="431">
        <v>4.62</v>
      </c>
      <c r="O1622" s="431">
        <v>4.07</v>
      </c>
      <c r="P1622" s="431">
        <v>3.55</v>
      </c>
      <c r="Q1622" s="179">
        <f t="shared" si="49"/>
        <v>5.0941666666666663</v>
      </c>
      <c r="R1622" s="179" t="s">
        <v>994</v>
      </c>
    </row>
    <row r="1623" spans="1:18" x14ac:dyDescent="0.15">
      <c r="A1623" s="179" t="str">
        <f t="shared" si="48"/>
        <v>San Nicolas de los Garza_Flat Surface_112.5</v>
      </c>
      <c r="B1623" s="501" t="s">
        <v>1010</v>
      </c>
      <c r="C1623" s="429">
        <v>0</v>
      </c>
      <c r="D1623" s="429">
        <v>112.5</v>
      </c>
      <c r="E1623" s="431">
        <v>3.72</v>
      </c>
      <c r="F1623" s="431">
        <v>4.57</v>
      </c>
      <c r="G1623" s="431">
        <v>5.66</v>
      </c>
      <c r="H1623" s="431">
        <v>5.82</v>
      </c>
      <c r="I1623" s="431">
        <v>6.24</v>
      </c>
      <c r="J1623" s="431">
        <v>6.16</v>
      </c>
      <c r="K1623" s="431">
        <v>6.03</v>
      </c>
      <c r="L1623" s="431">
        <v>5.71</v>
      </c>
      <c r="M1623" s="431">
        <v>4.9800000000000004</v>
      </c>
      <c r="N1623" s="431">
        <v>4.62</v>
      </c>
      <c r="O1623" s="431">
        <v>4.07</v>
      </c>
      <c r="P1623" s="431">
        <v>3.55</v>
      </c>
      <c r="Q1623" s="179">
        <f t="shared" si="49"/>
        <v>5.0941666666666663</v>
      </c>
      <c r="R1623" s="179" t="s">
        <v>994</v>
      </c>
    </row>
    <row r="1624" spans="1:18" x14ac:dyDescent="0.15">
      <c r="A1624" s="179" t="str">
        <f t="shared" si="48"/>
        <v>San Nicolas de los Garza_Flat Surface_135</v>
      </c>
      <c r="B1624" s="501" t="s">
        <v>1010</v>
      </c>
      <c r="C1624" s="429">
        <v>0</v>
      </c>
      <c r="D1624" s="429">
        <v>135</v>
      </c>
      <c r="E1624" s="431">
        <v>3.72</v>
      </c>
      <c r="F1624" s="431">
        <v>4.57</v>
      </c>
      <c r="G1624" s="431">
        <v>5.66</v>
      </c>
      <c r="H1624" s="431">
        <v>5.82</v>
      </c>
      <c r="I1624" s="431">
        <v>6.24</v>
      </c>
      <c r="J1624" s="431">
        <v>6.16</v>
      </c>
      <c r="K1624" s="431">
        <v>6.03</v>
      </c>
      <c r="L1624" s="431">
        <v>5.71</v>
      </c>
      <c r="M1624" s="431">
        <v>4.9800000000000004</v>
      </c>
      <c r="N1624" s="431">
        <v>4.62</v>
      </c>
      <c r="O1624" s="431">
        <v>4.07</v>
      </c>
      <c r="P1624" s="431">
        <v>3.55</v>
      </c>
      <c r="Q1624" s="179">
        <f t="shared" si="49"/>
        <v>5.0941666666666663</v>
      </c>
      <c r="R1624" s="179" t="s">
        <v>994</v>
      </c>
    </row>
    <row r="1625" spans="1:18" x14ac:dyDescent="0.15">
      <c r="A1625" s="179" t="str">
        <f t="shared" si="48"/>
        <v>San Nicolas de los Garza_Flat Surface_157.5</v>
      </c>
      <c r="B1625" s="501" t="s">
        <v>1010</v>
      </c>
      <c r="C1625" s="429">
        <v>0</v>
      </c>
      <c r="D1625" s="429">
        <v>157.5</v>
      </c>
      <c r="E1625" s="431">
        <v>3.72</v>
      </c>
      <c r="F1625" s="431">
        <v>4.57</v>
      </c>
      <c r="G1625" s="431">
        <v>5.66</v>
      </c>
      <c r="H1625" s="431">
        <v>5.82</v>
      </c>
      <c r="I1625" s="431">
        <v>6.24</v>
      </c>
      <c r="J1625" s="431">
        <v>6.16</v>
      </c>
      <c r="K1625" s="431">
        <v>6.03</v>
      </c>
      <c r="L1625" s="431">
        <v>5.71</v>
      </c>
      <c r="M1625" s="431">
        <v>4.9800000000000004</v>
      </c>
      <c r="N1625" s="431">
        <v>4.62</v>
      </c>
      <c r="O1625" s="431">
        <v>4.07</v>
      </c>
      <c r="P1625" s="431">
        <v>3.55</v>
      </c>
      <c r="Q1625" s="179">
        <f t="shared" si="49"/>
        <v>5.0941666666666663</v>
      </c>
      <c r="R1625" s="179" t="s">
        <v>994</v>
      </c>
    </row>
    <row r="1626" spans="1:18" x14ac:dyDescent="0.15">
      <c r="A1626" s="179" t="str">
        <f t="shared" si="48"/>
        <v>San Nicolas de los Garza_Flat Surface_180</v>
      </c>
      <c r="B1626" s="501" t="s">
        <v>1010</v>
      </c>
      <c r="C1626" s="429">
        <v>0</v>
      </c>
      <c r="D1626" s="429">
        <v>180</v>
      </c>
      <c r="E1626" s="431">
        <v>3.72</v>
      </c>
      <c r="F1626" s="431">
        <v>4.57</v>
      </c>
      <c r="G1626" s="431">
        <v>5.66</v>
      </c>
      <c r="H1626" s="431">
        <v>5.82</v>
      </c>
      <c r="I1626" s="431">
        <v>6.24</v>
      </c>
      <c r="J1626" s="431">
        <v>6.16</v>
      </c>
      <c r="K1626" s="431">
        <v>6.03</v>
      </c>
      <c r="L1626" s="431">
        <v>5.71</v>
      </c>
      <c r="M1626" s="431">
        <v>4.9800000000000004</v>
      </c>
      <c r="N1626" s="431">
        <v>4.62</v>
      </c>
      <c r="O1626" s="431">
        <v>4.07</v>
      </c>
      <c r="P1626" s="431">
        <v>3.55</v>
      </c>
      <c r="Q1626" s="179">
        <f t="shared" si="49"/>
        <v>5.0941666666666663</v>
      </c>
      <c r="R1626" s="179" t="s">
        <v>994</v>
      </c>
    </row>
    <row r="1627" spans="1:18" x14ac:dyDescent="0.15">
      <c r="A1627" s="179" t="str">
        <f t="shared" si="48"/>
        <v>San Nicolas de los Garza_Flat Surface_202.5</v>
      </c>
      <c r="B1627" s="501" t="s">
        <v>1010</v>
      </c>
      <c r="C1627" s="429">
        <v>0</v>
      </c>
      <c r="D1627" s="429">
        <v>202.5</v>
      </c>
      <c r="E1627" s="431">
        <v>3.72</v>
      </c>
      <c r="F1627" s="431">
        <v>4.57</v>
      </c>
      <c r="G1627" s="431">
        <v>5.66</v>
      </c>
      <c r="H1627" s="431">
        <v>5.82</v>
      </c>
      <c r="I1627" s="431">
        <v>6.24</v>
      </c>
      <c r="J1627" s="431">
        <v>6.16</v>
      </c>
      <c r="K1627" s="431">
        <v>6.03</v>
      </c>
      <c r="L1627" s="431">
        <v>5.71</v>
      </c>
      <c r="M1627" s="431">
        <v>4.9800000000000004</v>
      </c>
      <c r="N1627" s="431">
        <v>4.62</v>
      </c>
      <c r="O1627" s="431">
        <v>4.07</v>
      </c>
      <c r="P1627" s="431">
        <v>3.55</v>
      </c>
      <c r="Q1627" s="179">
        <f t="shared" si="49"/>
        <v>5.0941666666666663</v>
      </c>
      <c r="R1627" s="179" t="s">
        <v>994</v>
      </c>
    </row>
    <row r="1628" spans="1:18" x14ac:dyDescent="0.15">
      <c r="A1628" s="179" t="str">
        <f t="shared" si="48"/>
        <v>San Nicolas de los Garza_Flat Surface_225</v>
      </c>
      <c r="B1628" s="501" t="s">
        <v>1010</v>
      </c>
      <c r="C1628" s="429">
        <v>0</v>
      </c>
      <c r="D1628" s="429">
        <v>225</v>
      </c>
      <c r="E1628" s="431">
        <v>3.72</v>
      </c>
      <c r="F1628" s="431">
        <v>4.57</v>
      </c>
      <c r="G1628" s="431">
        <v>5.66</v>
      </c>
      <c r="H1628" s="431">
        <v>5.82</v>
      </c>
      <c r="I1628" s="431">
        <v>6.24</v>
      </c>
      <c r="J1628" s="431">
        <v>6.16</v>
      </c>
      <c r="K1628" s="431">
        <v>6.03</v>
      </c>
      <c r="L1628" s="431">
        <v>5.71</v>
      </c>
      <c r="M1628" s="431">
        <v>4.9800000000000004</v>
      </c>
      <c r="N1628" s="431">
        <v>4.62</v>
      </c>
      <c r="O1628" s="431">
        <v>4.07</v>
      </c>
      <c r="P1628" s="431">
        <v>3.55</v>
      </c>
      <c r="Q1628" s="179">
        <f t="shared" si="49"/>
        <v>5.0941666666666663</v>
      </c>
      <c r="R1628" s="179" t="s">
        <v>994</v>
      </c>
    </row>
    <row r="1629" spans="1:18" x14ac:dyDescent="0.15">
      <c r="A1629" s="179" t="str">
        <f t="shared" si="48"/>
        <v>San Nicolas de los Garza_Flat Surface_247.5</v>
      </c>
      <c r="B1629" s="501" t="s">
        <v>1010</v>
      </c>
      <c r="C1629" s="429">
        <v>0</v>
      </c>
      <c r="D1629" s="429">
        <v>247.5</v>
      </c>
      <c r="E1629" s="431">
        <v>3.72</v>
      </c>
      <c r="F1629" s="431">
        <v>4.57</v>
      </c>
      <c r="G1629" s="431">
        <v>5.66</v>
      </c>
      <c r="H1629" s="431">
        <v>5.82</v>
      </c>
      <c r="I1629" s="431">
        <v>6.24</v>
      </c>
      <c r="J1629" s="431">
        <v>6.16</v>
      </c>
      <c r="K1629" s="431">
        <v>6.03</v>
      </c>
      <c r="L1629" s="431">
        <v>5.71</v>
      </c>
      <c r="M1629" s="431">
        <v>4.9800000000000004</v>
      </c>
      <c r="N1629" s="431">
        <v>4.62</v>
      </c>
      <c r="O1629" s="431">
        <v>4.07</v>
      </c>
      <c r="P1629" s="431">
        <v>3.55</v>
      </c>
      <c r="Q1629" s="179">
        <f t="shared" si="49"/>
        <v>5.0941666666666663</v>
      </c>
      <c r="R1629" s="179" t="s">
        <v>994</v>
      </c>
    </row>
    <row r="1630" spans="1:18" x14ac:dyDescent="0.15">
      <c r="A1630" s="179" t="str">
        <f t="shared" si="48"/>
        <v>San Nicolas de los Garza_Flat Surface_270</v>
      </c>
      <c r="B1630" s="501" t="s">
        <v>1010</v>
      </c>
      <c r="C1630" s="429">
        <v>0</v>
      </c>
      <c r="D1630" s="429">
        <v>270</v>
      </c>
      <c r="E1630" s="431">
        <v>3.72</v>
      </c>
      <c r="F1630" s="431">
        <v>4.57</v>
      </c>
      <c r="G1630" s="431">
        <v>5.66</v>
      </c>
      <c r="H1630" s="431">
        <v>5.82</v>
      </c>
      <c r="I1630" s="431">
        <v>6.24</v>
      </c>
      <c r="J1630" s="431">
        <v>6.16</v>
      </c>
      <c r="K1630" s="431">
        <v>6.03</v>
      </c>
      <c r="L1630" s="431">
        <v>5.71</v>
      </c>
      <c r="M1630" s="431">
        <v>4.9800000000000004</v>
      </c>
      <c r="N1630" s="431">
        <v>4.62</v>
      </c>
      <c r="O1630" s="431">
        <v>4.07</v>
      </c>
      <c r="P1630" s="431">
        <v>3.55</v>
      </c>
      <c r="Q1630" s="179">
        <f t="shared" si="49"/>
        <v>5.0941666666666663</v>
      </c>
      <c r="R1630" s="179" t="s">
        <v>994</v>
      </c>
    </row>
    <row r="1631" spans="1:18" x14ac:dyDescent="0.15">
      <c r="A1631" s="179" t="str">
        <f t="shared" si="48"/>
        <v>San Nicolas de los Garza_Optimal Summer_90</v>
      </c>
      <c r="B1631" s="501" t="s">
        <v>1010</v>
      </c>
      <c r="C1631" s="429">
        <v>11</v>
      </c>
      <c r="D1631" s="429">
        <v>90</v>
      </c>
      <c r="E1631" s="431">
        <v>3.39</v>
      </c>
      <c r="F1631" s="431">
        <v>4.03</v>
      </c>
      <c r="G1631" s="431">
        <v>4.79</v>
      </c>
      <c r="H1631" s="431">
        <v>4.7300000000000004</v>
      </c>
      <c r="I1631" s="431">
        <v>4.92</v>
      </c>
      <c r="J1631" s="431">
        <v>4.8099999999999996</v>
      </c>
      <c r="K1631" s="431">
        <v>4.74</v>
      </c>
      <c r="L1631" s="431">
        <v>4.57</v>
      </c>
      <c r="M1631" s="431">
        <v>4.12</v>
      </c>
      <c r="N1631" s="431">
        <v>4</v>
      </c>
      <c r="O1631" s="431">
        <v>3.69</v>
      </c>
      <c r="P1631" s="431">
        <v>3.28</v>
      </c>
      <c r="Q1631" s="179">
        <f t="shared" si="49"/>
        <v>4.2558333333333325</v>
      </c>
      <c r="R1631" s="179" t="s">
        <v>958</v>
      </c>
    </row>
    <row r="1632" spans="1:18" x14ac:dyDescent="0.15">
      <c r="A1632" s="179" t="str">
        <f t="shared" si="48"/>
        <v>San Nicolas de los Garza_Optimal Summer_112.5</v>
      </c>
      <c r="B1632" s="501" t="s">
        <v>1010</v>
      </c>
      <c r="C1632" s="429">
        <v>11</v>
      </c>
      <c r="D1632" s="429">
        <v>112.5</v>
      </c>
      <c r="E1632" s="431">
        <v>3.71</v>
      </c>
      <c r="F1632" s="431">
        <v>4.41</v>
      </c>
      <c r="G1632" s="431">
        <v>5.24</v>
      </c>
      <c r="H1632" s="431">
        <v>5.17</v>
      </c>
      <c r="I1632" s="431">
        <v>5.38</v>
      </c>
      <c r="J1632" s="431">
        <v>5.26</v>
      </c>
      <c r="K1632" s="431">
        <v>5.18</v>
      </c>
      <c r="L1632" s="431">
        <v>5</v>
      </c>
      <c r="M1632" s="431">
        <v>4.51</v>
      </c>
      <c r="N1632" s="431">
        <v>4.38</v>
      </c>
      <c r="O1632" s="431">
        <v>4.03</v>
      </c>
      <c r="P1632" s="431">
        <v>3.59</v>
      </c>
      <c r="Q1632" s="179">
        <f t="shared" si="49"/>
        <v>4.6550000000000002</v>
      </c>
      <c r="R1632" s="179" t="s">
        <v>958</v>
      </c>
    </row>
    <row r="1633" spans="1:18" x14ac:dyDescent="0.15">
      <c r="A1633" s="179" t="str">
        <f t="shared" si="48"/>
        <v>San Nicolas de los Garza_Optimal Summer_135</v>
      </c>
      <c r="B1633" s="501" t="s">
        <v>1010</v>
      </c>
      <c r="C1633" s="429">
        <v>11</v>
      </c>
      <c r="D1633" s="429">
        <v>135</v>
      </c>
      <c r="E1633" s="431">
        <v>4.03</v>
      </c>
      <c r="F1633" s="431">
        <v>4.79</v>
      </c>
      <c r="G1633" s="431">
        <v>5.69</v>
      </c>
      <c r="H1633" s="431">
        <v>5.61</v>
      </c>
      <c r="I1633" s="431">
        <v>5.84</v>
      </c>
      <c r="J1633" s="431">
        <v>5.71</v>
      </c>
      <c r="K1633" s="431">
        <v>5.62</v>
      </c>
      <c r="L1633" s="431">
        <v>5.42</v>
      </c>
      <c r="M1633" s="431">
        <v>4.8899999999999997</v>
      </c>
      <c r="N1633" s="431">
        <v>4.75</v>
      </c>
      <c r="O1633" s="431">
        <v>4.38</v>
      </c>
      <c r="P1633" s="431">
        <v>3.9</v>
      </c>
      <c r="Q1633" s="179">
        <f t="shared" si="49"/>
        <v>5.0525000000000002</v>
      </c>
      <c r="R1633" s="179" t="s">
        <v>958</v>
      </c>
    </row>
    <row r="1634" spans="1:18" x14ac:dyDescent="0.15">
      <c r="A1634" s="179" t="str">
        <f t="shared" si="48"/>
        <v>San Nicolas de los Garza_Optimal Summer_157.5</v>
      </c>
      <c r="B1634" s="501" t="s">
        <v>1010</v>
      </c>
      <c r="C1634" s="429">
        <v>11</v>
      </c>
      <c r="D1634" s="429">
        <v>157.5</v>
      </c>
      <c r="E1634" s="431">
        <v>4.13</v>
      </c>
      <c r="F1634" s="431">
        <v>4.91</v>
      </c>
      <c r="G1634" s="431">
        <v>5.84</v>
      </c>
      <c r="H1634" s="431">
        <v>5.76</v>
      </c>
      <c r="I1634" s="431">
        <v>6</v>
      </c>
      <c r="J1634" s="431">
        <v>5.86</v>
      </c>
      <c r="K1634" s="431">
        <v>5.77</v>
      </c>
      <c r="L1634" s="431">
        <v>5.57</v>
      </c>
      <c r="M1634" s="431">
        <v>5.0199999999999996</v>
      </c>
      <c r="N1634" s="431">
        <v>4.88</v>
      </c>
      <c r="O1634" s="431">
        <v>4.49</v>
      </c>
      <c r="P1634" s="431">
        <v>4</v>
      </c>
      <c r="Q1634" s="179">
        <f t="shared" si="49"/>
        <v>5.185833333333334</v>
      </c>
      <c r="R1634" s="179" t="s">
        <v>958</v>
      </c>
    </row>
    <row r="1635" spans="1:18" x14ac:dyDescent="0.15">
      <c r="A1635" s="179" t="str">
        <f t="shared" si="48"/>
        <v>San Nicolas de los Garza_Optimal Summer_180</v>
      </c>
      <c r="B1635" s="501" t="s">
        <v>1010</v>
      </c>
      <c r="C1635" s="429">
        <v>11</v>
      </c>
      <c r="D1635" s="429">
        <v>180</v>
      </c>
      <c r="E1635" s="431">
        <v>4.24</v>
      </c>
      <c r="F1635" s="431">
        <v>5.04</v>
      </c>
      <c r="G1635" s="431">
        <v>5.99</v>
      </c>
      <c r="H1635" s="431">
        <v>5.91</v>
      </c>
      <c r="I1635" s="431">
        <v>6.15</v>
      </c>
      <c r="J1635" s="431">
        <v>6.01</v>
      </c>
      <c r="K1635" s="431">
        <v>5.92</v>
      </c>
      <c r="L1635" s="431">
        <v>5.71</v>
      </c>
      <c r="M1635" s="431">
        <v>5.15</v>
      </c>
      <c r="N1635" s="431">
        <v>5</v>
      </c>
      <c r="O1635" s="431">
        <v>4.6100000000000003</v>
      </c>
      <c r="P1635" s="431">
        <v>4.0999999999999996</v>
      </c>
      <c r="Q1635" s="179">
        <f t="shared" si="49"/>
        <v>5.3191666666666668</v>
      </c>
      <c r="R1635" s="179" t="s">
        <v>958</v>
      </c>
    </row>
    <row r="1636" spans="1:18" x14ac:dyDescent="0.15">
      <c r="A1636" s="179" t="str">
        <f t="shared" si="48"/>
        <v>San Nicolas de los Garza_Optimal Summer_202.5</v>
      </c>
      <c r="B1636" s="501" t="s">
        <v>1010</v>
      </c>
      <c r="C1636" s="429">
        <v>11</v>
      </c>
      <c r="D1636" s="429">
        <v>202.5</v>
      </c>
      <c r="E1636" s="431">
        <v>4.13</v>
      </c>
      <c r="F1636" s="431">
        <v>4.91</v>
      </c>
      <c r="G1636" s="431">
        <v>5.84</v>
      </c>
      <c r="H1636" s="431">
        <v>5.76</v>
      </c>
      <c r="I1636" s="431">
        <v>6</v>
      </c>
      <c r="J1636" s="431">
        <v>5.86</v>
      </c>
      <c r="K1636" s="431">
        <v>5.77</v>
      </c>
      <c r="L1636" s="431">
        <v>5.57</v>
      </c>
      <c r="M1636" s="431">
        <v>5.0199999999999996</v>
      </c>
      <c r="N1636" s="431">
        <v>4.88</v>
      </c>
      <c r="O1636" s="431">
        <v>4.49</v>
      </c>
      <c r="P1636" s="431">
        <v>4</v>
      </c>
      <c r="Q1636" s="179">
        <f t="shared" si="49"/>
        <v>5.185833333333334</v>
      </c>
      <c r="R1636" s="179" t="s">
        <v>958</v>
      </c>
    </row>
    <row r="1637" spans="1:18" x14ac:dyDescent="0.15">
      <c r="A1637" s="179" t="str">
        <f t="shared" si="48"/>
        <v>San Nicolas de los Garza_Optimal Summer_225</v>
      </c>
      <c r="B1637" s="501" t="s">
        <v>1010</v>
      </c>
      <c r="C1637" s="429">
        <v>11</v>
      </c>
      <c r="D1637" s="429">
        <v>225</v>
      </c>
      <c r="E1637" s="429">
        <v>4.03</v>
      </c>
      <c r="F1637" s="429">
        <v>4.79</v>
      </c>
      <c r="G1637" s="429">
        <v>5.69</v>
      </c>
      <c r="H1637" s="429">
        <v>5.61</v>
      </c>
      <c r="I1637" s="429">
        <v>5.84</v>
      </c>
      <c r="J1637" s="429">
        <v>5.71</v>
      </c>
      <c r="K1637" s="429">
        <v>5.62</v>
      </c>
      <c r="L1637" s="429">
        <v>5.42</v>
      </c>
      <c r="M1637" s="429">
        <v>4.8899999999999997</v>
      </c>
      <c r="N1637" s="429">
        <v>4.75</v>
      </c>
      <c r="O1637" s="429">
        <v>4.38</v>
      </c>
      <c r="P1637" s="429">
        <v>3.9</v>
      </c>
      <c r="Q1637" s="179">
        <f t="shared" si="49"/>
        <v>5.0525000000000002</v>
      </c>
      <c r="R1637" s="179" t="s">
        <v>958</v>
      </c>
    </row>
    <row r="1638" spans="1:18" x14ac:dyDescent="0.15">
      <c r="A1638" s="179" t="str">
        <f t="shared" si="48"/>
        <v>San Nicolas de los Garza_Optimal Summer_247.5</v>
      </c>
      <c r="B1638" s="501" t="s">
        <v>1010</v>
      </c>
      <c r="C1638" s="429">
        <v>11</v>
      </c>
      <c r="D1638" s="429">
        <v>247.5</v>
      </c>
      <c r="E1638" s="429">
        <v>3.71</v>
      </c>
      <c r="F1638" s="429">
        <v>4.41</v>
      </c>
      <c r="G1638" s="429">
        <v>5.24</v>
      </c>
      <c r="H1638" s="429">
        <v>5.17</v>
      </c>
      <c r="I1638" s="429">
        <v>5.38</v>
      </c>
      <c r="J1638" s="429">
        <v>5.26</v>
      </c>
      <c r="K1638" s="429">
        <v>5.18</v>
      </c>
      <c r="L1638" s="429">
        <v>5</v>
      </c>
      <c r="M1638" s="429">
        <v>4.51</v>
      </c>
      <c r="N1638" s="429">
        <v>4.38</v>
      </c>
      <c r="O1638" s="429">
        <v>4.03</v>
      </c>
      <c r="P1638" s="429">
        <v>3.59</v>
      </c>
      <c r="Q1638" s="179">
        <f t="shared" si="49"/>
        <v>4.6550000000000002</v>
      </c>
      <c r="R1638" s="179" t="s">
        <v>958</v>
      </c>
    </row>
    <row r="1639" spans="1:18" x14ac:dyDescent="0.15">
      <c r="A1639" s="179" t="str">
        <f t="shared" si="48"/>
        <v>San Nicolas de los Garza_Optimal Summer_270</v>
      </c>
      <c r="B1639" s="501" t="s">
        <v>1010</v>
      </c>
      <c r="C1639" s="429">
        <v>11</v>
      </c>
      <c r="D1639" s="429">
        <v>270</v>
      </c>
      <c r="E1639" s="429">
        <v>3.39</v>
      </c>
      <c r="F1639" s="429">
        <v>4.03</v>
      </c>
      <c r="G1639" s="429">
        <v>4.79</v>
      </c>
      <c r="H1639" s="429">
        <v>4.7300000000000004</v>
      </c>
      <c r="I1639" s="429">
        <v>4.92</v>
      </c>
      <c r="J1639" s="429">
        <v>4.8099999999999996</v>
      </c>
      <c r="K1639" s="429">
        <v>4.74</v>
      </c>
      <c r="L1639" s="429">
        <v>4.57</v>
      </c>
      <c r="M1639" s="429">
        <v>4.12</v>
      </c>
      <c r="N1639" s="429">
        <v>4</v>
      </c>
      <c r="O1639" s="429">
        <v>3.69</v>
      </c>
      <c r="P1639" s="429">
        <v>3.28</v>
      </c>
      <c r="Q1639" s="179">
        <f t="shared" si="49"/>
        <v>4.2558333333333325</v>
      </c>
      <c r="R1639" s="179" t="s">
        <v>958</v>
      </c>
    </row>
    <row r="1640" spans="1:18" x14ac:dyDescent="0.15">
      <c r="A1640" s="179" t="str">
        <f t="shared" si="48"/>
        <v>San Nicolas de los Garza_Optimal Year Round_90</v>
      </c>
      <c r="B1640" s="501" t="s">
        <v>1010</v>
      </c>
      <c r="C1640" s="429">
        <v>26</v>
      </c>
      <c r="D1640" s="429">
        <v>90</v>
      </c>
      <c r="E1640" s="431">
        <v>3.86</v>
      </c>
      <c r="F1640" s="431">
        <v>4.42</v>
      </c>
      <c r="G1640" s="431">
        <v>4.9800000000000004</v>
      </c>
      <c r="H1640" s="431">
        <v>4.6399999999999997</v>
      </c>
      <c r="I1640" s="431">
        <v>4.62</v>
      </c>
      <c r="J1640" s="431">
        <v>4.4400000000000004</v>
      </c>
      <c r="K1640" s="431">
        <v>4.41</v>
      </c>
      <c r="L1640" s="431">
        <v>4.3899999999999997</v>
      </c>
      <c r="M1640" s="431">
        <v>4.1500000000000004</v>
      </c>
      <c r="N1640" s="431">
        <v>4.28</v>
      </c>
      <c r="O1640" s="431">
        <v>4.17</v>
      </c>
      <c r="P1640" s="431">
        <v>3.79</v>
      </c>
      <c r="Q1640" s="179">
        <f t="shared" si="49"/>
        <v>4.3458333333333332</v>
      </c>
      <c r="R1640" s="179" t="s">
        <v>993</v>
      </c>
    </row>
    <row r="1641" spans="1:18" x14ac:dyDescent="0.15">
      <c r="A1641" s="179" t="str">
        <f t="shared" si="48"/>
        <v>San Nicolas de los Garza_Optimal Year Round_112.5</v>
      </c>
      <c r="B1641" s="501" t="s">
        <v>1010</v>
      </c>
      <c r="C1641" s="429">
        <v>26</v>
      </c>
      <c r="D1641" s="429">
        <v>112.5</v>
      </c>
      <c r="E1641" s="431">
        <v>4.2300000000000004</v>
      </c>
      <c r="F1641" s="431">
        <v>4.83</v>
      </c>
      <c r="G1641" s="431">
        <v>5.44</v>
      </c>
      <c r="H1641" s="431">
        <v>5.08</v>
      </c>
      <c r="I1641" s="431">
        <v>5.0599999999999996</v>
      </c>
      <c r="J1641" s="431">
        <v>4.8600000000000003</v>
      </c>
      <c r="K1641" s="431">
        <v>4.82</v>
      </c>
      <c r="L1641" s="431">
        <v>4.8</v>
      </c>
      <c r="M1641" s="431">
        <v>4.54</v>
      </c>
      <c r="N1641" s="431">
        <v>4.68</v>
      </c>
      <c r="O1641" s="431">
        <v>4.5599999999999996</v>
      </c>
      <c r="P1641" s="431">
        <v>4.1500000000000004</v>
      </c>
      <c r="Q1641" s="179">
        <f t="shared" si="49"/>
        <v>4.7541666666666655</v>
      </c>
      <c r="R1641" s="179" t="s">
        <v>993</v>
      </c>
    </row>
    <row r="1642" spans="1:18" x14ac:dyDescent="0.15">
      <c r="A1642" s="179" t="str">
        <f t="shared" si="48"/>
        <v>San Nicolas de los Garza_Optimal Year Round_135</v>
      </c>
      <c r="B1642" s="501" t="s">
        <v>1010</v>
      </c>
      <c r="C1642" s="429">
        <v>26</v>
      </c>
      <c r="D1642" s="429">
        <v>135</v>
      </c>
      <c r="E1642" s="431">
        <v>4.59</v>
      </c>
      <c r="F1642" s="431">
        <v>5.24</v>
      </c>
      <c r="G1642" s="431">
        <v>5.91</v>
      </c>
      <c r="H1642" s="431">
        <v>5.51</v>
      </c>
      <c r="I1642" s="431">
        <v>5.49</v>
      </c>
      <c r="J1642" s="431">
        <v>5.27</v>
      </c>
      <c r="K1642" s="431">
        <v>5.23</v>
      </c>
      <c r="L1642" s="431">
        <v>5.22</v>
      </c>
      <c r="M1642" s="431">
        <v>4.93</v>
      </c>
      <c r="N1642" s="431">
        <v>5.08</v>
      </c>
      <c r="O1642" s="431">
        <v>4.95</v>
      </c>
      <c r="P1642" s="431">
        <v>4.5</v>
      </c>
      <c r="Q1642" s="179">
        <f t="shared" si="49"/>
        <v>5.160000000000001</v>
      </c>
      <c r="R1642" s="179" t="s">
        <v>993</v>
      </c>
    </row>
    <row r="1643" spans="1:18" x14ac:dyDescent="0.15">
      <c r="A1643" s="179" t="str">
        <f t="shared" si="48"/>
        <v>San Nicolas de los Garza_Optimal Year Round_157.5</v>
      </c>
      <c r="B1643" s="501" t="s">
        <v>1010</v>
      </c>
      <c r="C1643" s="429">
        <v>26</v>
      </c>
      <c r="D1643" s="429">
        <v>157.5</v>
      </c>
      <c r="E1643" s="431">
        <v>4.71</v>
      </c>
      <c r="F1643" s="431">
        <v>5.38</v>
      </c>
      <c r="G1643" s="431">
        <v>6.06</v>
      </c>
      <c r="H1643" s="431">
        <v>5.66</v>
      </c>
      <c r="I1643" s="431">
        <v>5.64</v>
      </c>
      <c r="J1643" s="431">
        <v>5.41</v>
      </c>
      <c r="K1643" s="431">
        <v>5.37</v>
      </c>
      <c r="L1643" s="431">
        <v>5.35</v>
      </c>
      <c r="M1643" s="431">
        <v>5.0599999999999996</v>
      </c>
      <c r="N1643" s="431">
        <v>5.22</v>
      </c>
      <c r="O1643" s="431">
        <v>5.08</v>
      </c>
      <c r="P1643" s="431">
        <v>4.62</v>
      </c>
      <c r="Q1643" s="179">
        <f t="shared" si="49"/>
        <v>5.296666666666666</v>
      </c>
      <c r="R1643" s="179" t="s">
        <v>993</v>
      </c>
    </row>
    <row r="1644" spans="1:18" x14ac:dyDescent="0.15">
      <c r="A1644" s="179" t="str">
        <f t="shared" si="48"/>
        <v>San Nicolas de los Garza_Optimal Year Round_180</v>
      </c>
      <c r="B1644" s="501" t="s">
        <v>1010</v>
      </c>
      <c r="C1644" s="429">
        <v>26</v>
      </c>
      <c r="D1644" s="429">
        <v>180</v>
      </c>
      <c r="E1644" s="431">
        <v>4.83</v>
      </c>
      <c r="F1644" s="431">
        <v>5.52</v>
      </c>
      <c r="G1644" s="431">
        <v>6.22</v>
      </c>
      <c r="H1644" s="431">
        <v>5.8</v>
      </c>
      <c r="I1644" s="431">
        <v>5.78</v>
      </c>
      <c r="J1644" s="431">
        <v>5.55</v>
      </c>
      <c r="K1644" s="431">
        <v>5.51</v>
      </c>
      <c r="L1644" s="431">
        <v>5.49</v>
      </c>
      <c r="M1644" s="431">
        <v>5.19</v>
      </c>
      <c r="N1644" s="431">
        <v>5.35</v>
      </c>
      <c r="O1644" s="431">
        <v>5.21</v>
      </c>
      <c r="P1644" s="431">
        <v>4.74</v>
      </c>
      <c r="Q1644" s="179">
        <f t="shared" si="49"/>
        <v>5.4325000000000001</v>
      </c>
      <c r="R1644" s="179" t="s">
        <v>993</v>
      </c>
    </row>
    <row r="1645" spans="1:18" x14ac:dyDescent="0.15">
      <c r="A1645" s="179" t="str">
        <f t="shared" si="48"/>
        <v>San Nicolas de los Garza_Optimal Year Round_202.5</v>
      </c>
      <c r="B1645" s="501" t="s">
        <v>1010</v>
      </c>
      <c r="C1645" s="429">
        <v>26</v>
      </c>
      <c r="D1645" s="429">
        <v>202.5</v>
      </c>
      <c r="E1645" s="431">
        <v>4.71</v>
      </c>
      <c r="F1645" s="431">
        <v>5.38</v>
      </c>
      <c r="G1645" s="431">
        <v>6.06</v>
      </c>
      <c r="H1645" s="431">
        <v>5.66</v>
      </c>
      <c r="I1645" s="431">
        <v>5.64</v>
      </c>
      <c r="J1645" s="431">
        <v>5.41</v>
      </c>
      <c r="K1645" s="431">
        <v>5.37</v>
      </c>
      <c r="L1645" s="431">
        <v>5.35</v>
      </c>
      <c r="M1645" s="431">
        <v>5.0599999999999996</v>
      </c>
      <c r="N1645" s="431">
        <v>5.22</v>
      </c>
      <c r="O1645" s="431">
        <v>5.08</v>
      </c>
      <c r="P1645" s="431">
        <v>4.62</v>
      </c>
      <c r="Q1645" s="179">
        <f t="shared" si="49"/>
        <v>5.296666666666666</v>
      </c>
      <c r="R1645" s="179" t="s">
        <v>993</v>
      </c>
    </row>
    <row r="1646" spans="1:18" x14ac:dyDescent="0.15">
      <c r="A1646" s="179" t="str">
        <f t="shared" si="48"/>
        <v>San Nicolas de los Garza_Optimal Year Round_225</v>
      </c>
      <c r="B1646" s="501" t="s">
        <v>1010</v>
      </c>
      <c r="C1646" s="429">
        <v>26</v>
      </c>
      <c r="D1646" s="429">
        <v>225</v>
      </c>
      <c r="E1646" s="429">
        <v>4.59</v>
      </c>
      <c r="F1646" s="429">
        <v>5.24</v>
      </c>
      <c r="G1646" s="429">
        <v>5.91</v>
      </c>
      <c r="H1646" s="429">
        <v>5.51</v>
      </c>
      <c r="I1646" s="429">
        <v>5.49</v>
      </c>
      <c r="J1646" s="429">
        <v>5.27</v>
      </c>
      <c r="K1646" s="429">
        <v>5.23</v>
      </c>
      <c r="L1646" s="429">
        <v>5.22</v>
      </c>
      <c r="M1646" s="429">
        <v>4.93</v>
      </c>
      <c r="N1646" s="429">
        <v>5.08</v>
      </c>
      <c r="O1646" s="429">
        <v>4.95</v>
      </c>
      <c r="P1646" s="429">
        <v>4.5</v>
      </c>
      <c r="Q1646" s="179">
        <f t="shared" si="49"/>
        <v>5.160000000000001</v>
      </c>
      <c r="R1646" s="179" t="s">
        <v>993</v>
      </c>
    </row>
    <row r="1647" spans="1:18" x14ac:dyDescent="0.15">
      <c r="A1647" s="179" t="str">
        <f t="shared" si="48"/>
        <v>San Nicolas de los Garza_Optimal Year Round_247.5</v>
      </c>
      <c r="B1647" s="501" t="s">
        <v>1010</v>
      </c>
      <c r="C1647" s="429">
        <v>26</v>
      </c>
      <c r="D1647" s="429">
        <v>247.5</v>
      </c>
      <c r="E1647" s="429">
        <v>4.2300000000000004</v>
      </c>
      <c r="F1647" s="429">
        <v>4.83</v>
      </c>
      <c r="G1647" s="429">
        <v>5.44</v>
      </c>
      <c r="H1647" s="429">
        <v>5.08</v>
      </c>
      <c r="I1647" s="429">
        <v>5.0599999999999996</v>
      </c>
      <c r="J1647" s="429">
        <v>4.8600000000000003</v>
      </c>
      <c r="K1647" s="429">
        <v>4.82</v>
      </c>
      <c r="L1647" s="429">
        <v>4.8</v>
      </c>
      <c r="M1647" s="429">
        <v>4.54</v>
      </c>
      <c r="N1647" s="429">
        <v>4.68</v>
      </c>
      <c r="O1647" s="429">
        <v>4.5599999999999996</v>
      </c>
      <c r="P1647" s="429">
        <v>4.1500000000000004</v>
      </c>
      <c r="Q1647" s="179">
        <f t="shared" si="49"/>
        <v>4.7541666666666655</v>
      </c>
      <c r="R1647" s="179" t="s">
        <v>993</v>
      </c>
    </row>
    <row r="1648" spans="1:18" x14ac:dyDescent="0.15">
      <c r="A1648" s="179" t="str">
        <f t="shared" si="48"/>
        <v>San Nicolas de los Garza_Optimal Year Round_270</v>
      </c>
      <c r="B1648" s="501" t="s">
        <v>1010</v>
      </c>
      <c r="C1648" s="429">
        <v>26</v>
      </c>
      <c r="D1648" s="429">
        <v>270</v>
      </c>
      <c r="E1648" s="429">
        <v>3.86</v>
      </c>
      <c r="F1648" s="429">
        <v>4.42</v>
      </c>
      <c r="G1648" s="429">
        <v>4.9800000000000004</v>
      </c>
      <c r="H1648" s="429">
        <v>4.6399999999999997</v>
      </c>
      <c r="I1648" s="429">
        <v>4.62</v>
      </c>
      <c r="J1648" s="429">
        <v>4.4400000000000004</v>
      </c>
      <c r="K1648" s="429">
        <v>4.41</v>
      </c>
      <c r="L1648" s="429">
        <v>4.3899999999999997</v>
      </c>
      <c r="M1648" s="429">
        <v>4.1500000000000004</v>
      </c>
      <c r="N1648" s="429">
        <v>4.28</v>
      </c>
      <c r="O1648" s="429">
        <v>4.17</v>
      </c>
      <c r="P1648" s="429">
        <v>3.79</v>
      </c>
      <c r="Q1648" s="179">
        <f t="shared" si="49"/>
        <v>4.3458333333333332</v>
      </c>
      <c r="R1648" s="179" t="s">
        <v>993</v>
      </c>
    </row>
    <row r="1649" spans="1:18" x14ac:dyDescent="0.15">
      <c r="A1649" s="179" t="str">
        <f t="shared" si="48"/>
        <v>Santa Catarina_Flat Surface_90</v>
      </c>
      <c r="B1649" s="501" t="s">
        <v>1011</v>
      </c>
      <c r="C1649" s="429">
        <v>0</v>
      </c>
      <c r="D1649" s="429">
        <v>90</v>
      </c>
      <c r="E1649" s="431">
        <v>3.72</v>
      </c>
      <c r="F1649" s="431">
        <v>4.57</v>
      </c>
      <c r="G1649" s="431">
        <v>5.66</v>
      </c>
      <c r="H1649" s="431">
        <v>5.82</v>
      </c>
      <c r="I1649" s="431">
        <v>6.24</v>
      </c>
      <c r="J1649" s="431">
        <v>6.16</v>
      </c>
      <c r="K1649" s="431">
        <v>6.03</v>
      </c>
      <c r="L1649" s="431">
        <v>5.71</v>
      </c>
      <c r="M1649" s="431">
        <v>4.9800000000000004</v>
      </c>
      <c r="N1649" s="431">
        <v>4.62</v>
      </c>
      <c r="O1649" s="431">
        <v>4.07</v>
      </c>
      <c r="P1649" s="431">
        <v>3.55</v>
      </c>
      <c r="Q1649" s="179">
        <f t="shared" si="49"/>
        <v>5.0941666666666663</v>
      </c>
      <c r="R1649" s="179" t="s">
        <v>994</v>
      </c>
    </row>
    <row r="1650" spans="1:18" x14ac:dyDescent="0.15">
      <c r="A1650" s="179" t="str">
        <f t="shared" si="48"/>
        <v>Santa Catarina_Flat Surface_112.5</v>
      </c>
      <c r="B1650" s="501" t="s">
        <v>1011</v>
      </c>
      <c r="C1650" s="429">
        <v>0</v>
      </c>
      <c r="D1650" s="429">
        <v>112.5</v>
      </c>
      <c r="E1650" s="431">
        <v>3.72</v>
      </c>
      <c r="F1650" s="431">
        <v>4.57</v>
      </c>
      <c r="G1650" s="431">
        <v>5.66</v>
      </c>
      <c r="H1650" s="431">
        <v>5.82</v>
      </c>
      <c r="I1650" s="431">
        <v>6.24</v>
      </c>
      <c r="J1650" s="431">
        <v>6.16</v>
      </c>
      <c r="K1650" s="431">
        <v>6.03</v>
      </c>
      <c r="L1650" s="431">
        <v>5.71</v>
      </c>
      <c r="M1650" s="431">
        <v>4.9800000000000004</v>
      </c>
      <c r="N1650" s="431">
        <v>4.62</v>
      </c>
      <c r="O1650" s="431">
        <v>4.07</v>
      </c>
      <c r="P1650" s="431">
        <v>3.55</v>
      </c>
      <c r="Q1650" s="179">
        <f t="shared" si="49"/>
        <v>5.0941666666666663</v>
      </c>
      <c r="R1650" s="179" t="s">
        <v>994</v>
      </c>
    </row>
    <row r="1651" spans="1:18" x14ac:dyDescent="0.15">
      <c r="A1651" s="179" t="str">
        <f t="shared" si="48"/>
        <v>Santa Catarina_Flat Surface_135</v>
      </c>
      <c r="B1651" s="501" t="s">
        <v>1011</v>
      </c>
      <c r="C1651" s="429">
        <v>0</v>
      </c>
      <c r="D1651" s="429">
        <v>135</v>
      </c>
      <c r="E1651" s="431">
        <v>3.72</v>
      </c>
      <c r="F1651" s="431">
        <v>4.57</v>
      </c>
      <c r="G1651" s="431">
        <v>5.66</v>
      </c>
      <c r="H1651" s="431">
        <v>5.82</v>
      </c>
      <c r="I1651" s="431">
        <v>6.24</v>
      </c>
      <c r="J1651" s="431">
        <v>6.16</v>
      </c>
      <c r="K1651" s="431">
        <v>6.03</v>
      </c>
      <c r="L1651" s="431">
        <v>5.71</v>
      </c>
      <c r="M1651" s="431">
        <v>4.9800000000000004</v>
      </c>
      <c r="N1651" s="431">
        <v>4.62</v>
      </c>
      <c r="O1651" s="431">
        <v>4.07</v>
      </c>
      <c r="P1651" s="431">
        <v>3.55</v>
      </c>
      <c r="Q1651" s="179">
        <f t="shared" si="49"/>
        <v>5.0941666666666663</v>
      </c>
      <c r="R1651" s="179" t="s">
        <v>994</v>
      </c>
    </row>
    <row r="1652" spans="1:18" x14ac:dyDescent="0.15">
      <c r="A1652" s="179" t="str">
        <f t="shared" si="48"/>
        <v>Santa Catarina_Flat Surface_157.5</v>
      </c>
      <c r="B1652" s="501" t="s">
        <v>1011</v>
      </c>
      <c r="C1652" s="429">
        <v>0</v>
      </c>
      <c r="D1652" s="429">
        <v>157.5</v>
      </c>
      <c r="E1652" s="431">
        <v>3.72</v>
      </c>
      <c r="F1652" s="431">
        <v>4.57</v>
      </c>
      <c r="G1652" s="431">
        <v>5.66</v>
      </c>
      <c r="H1652" s="431">
        <v>5.82</v>
      </c>
      <c r="I1652" s="431">
        <v>6.24</v>
      </c>
      <c r="J1652" s="431">
        <v>6.16</v>
      </c>
      <c r="K1652" s="431">
        <v>6.03</v>
      </c>
      <c r="L1652" s="431">
        <v>5.71</v>
      </c>
      <c r="M1652" s="431">
        <v>4.9800000000000004</v>
      </c>
      <c r="N1652" s="431">
        <v>4.62</v>
      </c>
      <c r="O1652" s="431">
        <v>4.07</v>
      </c>
      <c r="P1652" s="431">
        <v>3.55</v>
      </c>
      <c r="Q1652" s="179">
        <f t="shared" si="49"/>
        <v>5.0941666666666663</v>
      </c>
      <c r="R1652" s="179" t="s">
        <v>994</v>
      </c>
    </row>
    <row r="1653" spans="1:18" x14ac:dyDescent="0.15">
      <c r="A1653" s="179" t="str">
        <f t="shared" si="48"/>
        <v>Santa Catarina_Flat Surface_180</v>
      </c>
      <c r="B1653" s="501" t="s">
        <v>1011</v>
      </c>
      <c r="C1653" s="429">
        <v>0</v>
      </c>
      <c r="D1653" s="429">
        <v>180</v>
      </c>
      <c r="E1653" s="431">
        <v>3.72</v>
      </c>
      <c r="F1653" s="431">
        <v>4.57</v>
      </c>
      <c r="G1653" s="431">
        <v>5.66</v>
      </c>
      <c r="H1653" s="431">
        <v>5.82</v>
      </c>
      <c r="I1653" s="431">
        <v>6.24</v>
      </c>
      <c r="J1653" s="431">
        <v>6.16</v>
      </c>
      <c r="K1653" s="431">
        <v>6.03</v>
      </c>
      <c r="L1653" s="431">
        <v>5.71</v>
      </c>
      <c r="M1653" s="431">
        <v>4.9800000000000004</v>
      </c>
      <c r="N1653" s="431">
        <v>4.62</v>
      </c>
      <c r="O1653" s="431">
        <v>4.07</v>
      </c>
      <c r="P1653" s="431">
        <v>3.55</v>
      </c>
      <c r="Q1653" s="179">
        <f t="shared" si="49"/>
        <v>5.0941666666666663</v>
      </c>
      <c r="R1653" s="179" t="s">
        <v>994</v>
      </c>
    </row>
    <row r="1654" spans="1:18" x14ac:dyDescent="0.15">
      <c r="A1654" s="179" t="str">
        <f t="shared" si="48"/>
        <v>Santa Catarina_Flat Surface_202.5</v>
      </c>
      <c r="B1654" s="501" t="s">
        <v>1011</v>
      </c>
      <c r="C1654" s="429">
        <v>0</v>
      </c>
      <c r="D1654" s="429">
        <v>202.5</v>
      </c>
      <c r="E1654" s="431">
        <v>3.72</v>
      </c>
      <c r="F1654" s="431">
        <v>4.57</v>
      </c>
      <c r="G1654" s="431">
        <v>5.66</v>
      </c>
      <c r="H1654" s="431">
        <v>5.82</v>
      </c>
      <c r="I1654" s="431">
        <v>6.24</v>
      </c>
      <c r="J1654" s="431">
        <v>6.16</v>
      </c>
      <c r="K1654" s="431">
        <v>6.03</v>
      </c>
      <c r="L1654" s="431">
        <v>5.71</v>
      </c>
      <c r="M1654" s="431">
        <v>4.9800000000000004</v>
      </c>
      <c r="N1654" s="431">
        <v>4.62</v>
      </c>
      <c r="O1654" s="431">
        <v>4.07</v>
      </c>
      <c r="P1654" s="431">
        <v>3.55</v>
      </c>
      <c r="Q1654" s="179">
        <f t="shared" si="49"/>
        <v>5.0941666666666663</v>
      </c>
      <c r="R1654" s="179" t="s">
        <v>994</v>
      </c>
    </row>
    <row r="1655" spans="1:18" x14ac:dyDescent="0.15">
      <c r="A1655" s="179" t="str">
        <f t="shared" si="48"/>
        <v>Santa Catarina_Flat Surface_225</v>
      </c>
      <c r="B1655" s="501" t="s">
        <v>1011</v>
      </c>
      <c r="C1655" s="429">
        <v>0</v>
      </c>
      <c r="D1655" s="429">
        <v>225</v>
      </c>
      <c r="E1655" s="431">
        <v>3.72</v>
      </c>
      <c r="F1655" s="431">
        <v>4.57</v>
      </c>
      <c r="G1655" s="431">
        <v>5.66</v>
      </c>
      <c r="H1655" s="431">
        <v>5.82</v>
      </c>
      <c r="I1655" s="431">
        <v>6.24</v>
      </c>
      <c r="J1655" s="431">
        <v>6.16</v>
      </c>
      <c r="K1655" s="431">
        <v>6.03</v>
      </c>
      <c r="L1655" s="431">
        <v>5.71</v>
      </c>
      <c r="M1655" s="431">
        <v>4.9800000000000004</v>
      </c>
      <c r="N1655" s="431">
        <v>4.62</v>
      </c>
      <c r="O1655" s="431">
        <v>4.07</v>
      </c>
      <c r="P1655" s="431">
        <v>3.55</v>
      </c>
      <c r="Q1655" s="179">
        <f t="shared" si="49"/>
        <v>5.0941666666666663</v>
      </c>
      <c r="R1655" s="179" t="s">
        <v>994</v>
      </c>
    </row>
    <row r="1656" spans="1:18" x14ac:dyDescent="0.15">
      <c r="A1656" s="179" t="str">
        <f t="shared" si="48"/>
        <v>Santa Catarina_Flat Surface_247.5</v>
      </c>
      <c r="B1656" s="501" t="s">
        <v>1011</v>
      </c>
      <c r="C1656" s="429">
        <v>0</v>
      </c>
      <c r="D1656" s="429">
        <v>247.5</v>
      </c>
      <c r="E1656" s="431">
        <v>3.72</v>
      </c>
      <c r="F1656" s="431">
        <v>4.57</v>
      </c>
      <c r="G1656" s="431">
        <v>5.66</v>
      </c>
      <c r="H1656" s="431">
        <v>5.82</v>
      </c>
      <c r="I1656" s="431">
        <v>6.24</v>
      </c>
      <c r="J1656" s="431">
        <v>6.16</v>
      </c>
      <c r="K1656" s="431">
        <v>6.03</v>
      </c>
      <c r="L1656" s="431">
        <v>5.71</v>
      </c>
      <c r="M1656" s="431">
        <v>4.9800000000000004</v>
      </c>
      <c r="N1656" s="431">
        <v>4.62</v>
      </c>
      <c r="O1656" s="431">
        <v>4.07</v>
      </c>
      <c r="P1656" s="431">
        <v>3.55</v>
      </c>
      <c r="Q1656" s="179">
        <f t="shared" si="49"/>
        <v>5.0941666666666663</v>
      </c>
      <c r="R1656" s="179" t="s">
        <v>994</v>
      </c>
    </row>
    <row r="1657" spans="1:18" x14ac:dyDescent="0.15">
      <c r="A1657" s="179" t="str">
        <f t="shared" si="48"/>
        <v>Santa Catarina_Flat Surface_270</v>
      </c>
      <c r="B1657" s="501" t="s">
        <v>1011</v>
      </c>
      <c r="C1657" s="429">
        <v>0</v>
      </c>
      <c r="D1657" s="429">
        <v>270</v>
      </c>
      <c r="E1657" s="431">
        <v>3.72</v>
      </c>
      <c r="F1657" s="431">
        <v>4.57</v>
      </c>
      <c r="G1657" s="431">
        <v>5.66</v>
      </c>
      <c r="H1657" s="431">
        <v>5.82</v>
      </c>
      <c r="I1657" s="431">
        <v>6.24</v>
      </c>
      <c r="J1657" s="431">
        <v>6.16</v>
      </c>
      <c r="K1657" s="431">
        <v>6.03</v>
      </c>
      <c r="L1657" s="431">
        <v>5.71</v>
      </c>
      <c r="M1657" s="431">
        <v>4.9800000000000004</v>
      </c>
      <c r="N1657" s="431">
        <v>4.62</v>
      </c>
      <c r="O1657" s="431">
        <v>4.07</v>
      </c>
      <c r="P1657" s="431">
        <v>3.55</v>
      </c>
      <c r="Q1657" s="179">
        <f t="shared" si="49"/>
        <v>5.0941666666666663</v>
      </c>
      <c r="R1657" s="179" t="s">
        <v>994</v>
      </c>
    </row>
    <row r="1658" spans="1:18" x14ac:dyDescent="0.15">
      <c r="A1658" s="179" t="str">
        <f t="shared" si="48"/>
        <v>Santa Catarina_Optimal Summer_90</v>
      </c>
      <c r="B1658" s="501" t="s">
        <v>1011</v>
      </c>
      <c r="C1658" s="429">
        <v>11</v>
      </c>
      <c r="D1658" s="429">
        <v>90</v>
      </c>
      <c r="E1658" s="431">
        <v>3.39</v>
      </c>
      <c r="F1658" s="431">
        <v>4.03</v>
      </c>
      <c r="G1658" s="431">
        <v>4.79</v>
      </c>
      <c r="H1658" s="431">
        <v>4.7300000000000004</v>
      </c>
      <c r="I1658" s="431">
        <v>4.92</v>
      </c>
      <c r="J1658" s="431">
        <v>4.8099999999999996</v>
      </c>
      <c r="K1658" s="431">
        <v>4.7300000000000004</v>
      </c>
      <c r="L1658" s="431">
        <v>4.57</v>
      </c>
      <c r="M1658" s="431">
        <v>4.1100000000000003</v>
      </c>
      <c r="N1658" s="431">
        <v>4</v>
      </c>
      <c r="O1658" s="431">
        <v>3.69</v>
      </c>
      <c r="P1658" s="431">
        <v>3.28</v>
      </c>
      <c r="Q1658" s="179">
        <f t="shared" si="49"/>
        <v>4.2541666666666664</v>
      </c>
      <c r="R1658" s="179" t="s">
        <v>958</v>
      </c>
    </row>
    <row r="1659" spans="1:18" x14ac:dyDescent="0.15">
      <c r="A1659" s="179" t="str">
        <f t="shared" si="48"/>
        <v>Santa Catarina_Optimal Summer_112.5</v>
      </c>
      <c r="B1659" s="501" t="s">
        <v>1011</v>
      </c>
      <c r="C1659" s="429">
        <v>11</v>
      </c>
      <c r="D1659" s="429">
        <v>112.5</v>
      </c>
      <c r="E1659" s="431">
        <v>3.71</v>
      </c>
      <c r="F1659" s="431">
        <v>4.41</v>
      </c>
      <c r="G1659" s="431">
        <v>5.24</v>
      </c>
      <c r="H1659" s="431">
        <v>5.17</v>
      </c>
      <c r="I1659" s="431">
        <v>5.38</v>
      </c>
      <c r="J1659" s="431">
        <v>5.26</v>
      </c>
      <c r="K1659" s="431">
        <v>5.17</v>
      </c>
      <c r="L1659" s="431">
        <v>5</v>
      </c>
      <c r="M1659" s="431">
        <v>4.5</v>
      </c>
      <c r="N1659" s="431">
        <v>4.38</v>
      </c>
      <c r="O1659" s="431">
        <v>4.03</v>
      </c>
      <c r="P1659" s="431">
        <v>3.59</v>
      </c>
      <c r="Q1659" s="179">
        <f t="shared" si="49"/>
        <v>4.6533333333333333</v>
      </c>
      <c r="R1659" s="179" t="s">
        <v>958</v>
      </c>
    </row>
    <row r="1660" spans="1:18" x14ac:dyDescent="0.15">
      <c r="A1660" s="179" t="str">
        <f t="shared" si="48"/>
        <v>Santa Catarina_Optimal Summer_135</v>
      </c>
      <c r="B1660" s="501" t="s">
        <v>1011</v>
      </c>
      <c r="C1660" s="429">
        <v>11</v>
      </c>
      <c r="D1660" s="429">
        <v>135</v>
      </c>
      <c r="E1660" s="431">
        <v>4.03</v>
      </c>
      <c r="F1660" s="431">
        <v>4.79</v>
      </c>
      <c r="G1660" s="431">
        <v>5.69</v>
      </c>
      <c r="H1660" s="431">
        <v>5.61</v>
      </c>
      <c r="I1660" s="431">
        <v>5.84</v>
      </c>
      <c r="J1660" s="431">
        <v>5.71</v>
      </c>
      <c r="K1660" s="431">
        <v>5.61</v>
      </c>
      <c r="L1660" s="431">
        <v>5.42</v>
      </c>
      <c r="M1660" s="431">
        <v>4.88</v>
      </c>
      <c r="N1660" s="431">
        <v>4.75</v>
      </c>
      <c r="O1660" s="431">
        <v>4.38</v>
      </c>
      <c r="P1660" s="431">
        <v>3.9</v>
      </c>
      <c r="Q1660" s="179">
        <f t="shared" si="49"/>
        <v>5.0508333333333342</v>
      </c>
      <c r="R1660" s="179" t="s">
        <v>958</v>
      </c>
    </row>
    <row r="1661" spans="1:18" x14ac:dyDescent="0.15">
      <c r="A1661" s="179" t="str">
        <f t="shared" si="48"/>
        <v>Santa Catarina_Optimal Summer_157.5</v>
      </c>
      <c r="B1661" s="501" t="s">
        <v>1011</v>
      </c>
      <c r="C1661" s="429">
        <v>11</v>
      </c>
      <c r="D1661" s="429">
        <v>157.5</v>
      </c>
      <c r="E1661" s="431">
        <v>4.13</v>
      </c>
      <c r="F1661" s="431">
        <v>4.91</v>
      </c>
      <c r="G1661" s="431">
        <v>5.84</v>
      </c>
      <c r="H1661" s="431">
        <v>5.76</v>
      </c>
      <c r="I1661" s="431">
        <v>6</v>
      </c>
      <c r="J1661" s="431">
        <v>5.86</v>
      </c>
      <c r="K1661" s="431">
        <v>5.76</v>
      </c>
      <c r="L1661" s="431">
        <v>5.57</v>
      </c>
      <c r="M1661" s="431">
        <v>5.01</v>
      </c>
      <c r="N1661" s="431">
        <v>4.88</v>
      </c>
      <c r="O1661" s="431">
        <v>4.49</v>
      </c>
      <c r="P1661" s="431">
        <v>4</v>
      </c>
      <c r="Q1661" s="179">
        <f t="shared" si="49"/>
        <v>5.184166666666667</v>
      </c>
      <c r="R1661" s="179" t="s">
        <v>958</v>
      </c>
    </row>
    <row r="1662" spans="1:18" x14ac:dyDescent="0.15">
      <c r="A1662" s="179" t="str">
        <f t="shared" si="48"/>
        <v>Santa Catarina_Optimal Summer_180</v>
      </c>
      <c r="B1662" s="501" t="s">
        <v>1011</v>
      </c>
      <c r="C1662" s="429">
        <v>11</v>
      </c>
      <c r="D1662" s="429">
        <v>180</v>
      </c>
      <c r="E1662" s="431">
        <v>4.24</v>
      </c>
      <c r="F1662" s="431">
        <v>5.04</v>
      </c>
      <c r="G1662" s="431">
        <v>5.99</v>
      </c>
      <c r="H1662" s="431">
        <v>5.91</v>
      </c>
      <c r="I1662" s="431">
        <v>6.15</v>
      </c>
      <c r="J1662" s="431">
        <v>6.01</v>
      </c>
      <c r="K1662" s="431">
        <v>5.91</v>
      </c>
      <c r="L1662" s="431">
        <v>5.71</v>
      </c>
      <c r="M1662" s="431">
        <v>5.14</v>
      </c>
      <c r="N1662" s="431">
        <v>5</v>
      </c>
      <c r="O1662" s="431">
        <v>4.6100000000000003</v>
      </c>
      <c r="P1662" s="431">
        <v>4.0999999999999996</v>
      </c>
      <c r="Q1662" s="179">
        <f t="shared" si="49"/>
        <v>5.3174999999999999</v>
      </c>
      <c r="R1662" s="179" t="s">
        <v>958</v>
      </c>
    </row>
    <row r="1663" spans="1:18" x14ac:dyDescent="0.15">
      <c r="A1663" s="179" t="str">
        <f t="shared" si="48"/>
        <v>Santa Catarina_Optimal Summer_202.5</v>
      </c>
      <c r="B1663" s="501" t="s">
        <v>1011</v>
      </c>
      <c r="C1663" s="429">
        <v>11</v>
      </c>
      <c r="D1663" s="429">
        <v>202.5</v>
      </c>
      <c r="E1663" s="431">
        <v>4.13</v>
      </c>
      <c r="F1663" s="431">
        <v>4.91</v>
      </c>
      <c r="G1663" s="431">
        <v>5.84</v>
      </c>
      <c r="H1663" s="431">
        <v>5.76</v>
      </c>
      <c r="I1663" s="431">
        <v>6</v>
      </c>
      <c r="J1663" s="431">
        <v>5.86</v>
      </c>
      <c r="K1663" s="431">
        <v>5.76</v>
      </c>
      <c r="L1663" s="431">
        <v>5.57</v>
      </c>
      <c r="M1663" s="431">
        <v>5.01</v>
      </c>
      <c r="N1663" s="431">
        <v>4.88</v>
      </c>
      <c r="O1663" s="431">
        <v>4.49</v>
      </c>
      <c r="P1663" s="431">
        <v>4</v>
      </c>
      <c r="Q1663" s="179">
        <f t="shared" si="49"/>
        <v>5.184166666666667</v>
      </c>
      <c r="R1663" s="179" t="s">
        <v>958</v>
      </c>
    </row>
    <row r="1664" spans="1:18" x14ac:dyDescent="0.15">
      <c r="A1664" s="179" t="str">
        <f t="shared" si="48"/>
        <v>Santa Catarina_Optimal Summer_225</v>
      </c>
      <c r="B1664" s="501" t="s">
        <v>1011</v>
      </c>
      <c r="C1664" s="429">
        <v>11</v>
      </c>
      <c r="D1664" s="429">
        <v>225</v>
      </c>
      <c r="E1664" s="429">
        <v>4.03</v>
      </c>
      <c r="F1664" s="429">
        <v>4.79</v>
      </c>
      <c r="G1664" s="429">
        <v>5.69</v>
      </c>
      <c r="H1664" s="429">
        <v>5.61</v>
      </c>
      <c r="I1664" s="429">
        <v>5.84</v>
      </c>
      <c r="J1664" s="429">
        <v>5.71</v>
      </c>
      <c r="K1664" s="429">
        <v>5.61</v>
      </c>
      <c r="L1664" s="429">
        <v>5.42</v>
      </c>
      <c r="M1664" s="429">
        <v>4.88</v>
      </c>
      <c r="N1664" s="429">
        <v>4.75</v>
      </c>
      <c r="O1664" s="429">
        <v>4.38</v>
      </c>
      <c r="P1664" s="429">
        <v>3.9</v>
      </c>
      <c r="Q1664" s="179">
        <f t="shared" si="49"/>
        <v>5.0508333333333342</v>
      </c>
      <c r="R1664" s="179" t="s">
        <v>958</v>
      </c>
    </row>
    <row r="1665" spans="1:18" x14ac:dyDescent="0.15">
      <c r="A1665" s="179" t="str">
        <f t="shared" si="48"/>
        <v>Santa Catarina_Optimal Summer_247.5</v>
      </c>
      <c r="B1665" s="501" t="s">
        <v>1011</v>
      </c>
      <c r="C1665" s="429">
        <v>11</v>
      </c>
      <c r="D1665" s="429">
        <v>247.5</v>
      </c>
      <c r="E1665" s="429">
        <v>3.71</v>
      </c>
      <c r="F1665" s="429">
        <v>4.41</v>
      </c>
      <c r="G1665" s="429">
        <v>5.24</v>
      </c>
      <c r="H1665" s="429">
        <v>5.17</v>
      </c>
      <c r="I1665" s="429">
        <v>5.38</v>
      </c>
      <c r="J1665" s="429">
        <v>5.26</v>
      </c>
      <c r="K1665" s="429">
        <v>5.17</v>
      </c>
      <c r="L1665" s="429">
        <v>5</v>
      </c>
      <c r="M1665" s="429">
        <v>4.5</v>
      </c>
      <c r="N1665" s="429">
        <v>4.38</v>
      </c>
      <c r="O1665" s="429">
        <v>4.03</v>
      </c>
      <c r="P1665" s="429">
        <v>3.59</v>
      </c>
      <c r="Q1665" s="179">
        <f t="shared" si="49"/>
        <v>4.6533333333333333</v>
      </c>
      <c r="R1665" s="179" t="s">
        <v>958</v>
      </c>
    </row>
    <row r="1666" spans="1:18" x14ac:dyDescent="0.15">
      <c r="A1666" s="179" t="str">
        <f t="shared" ref="A1666:A1729" si="50">B1666&amp;"_"&amp;R1666&amp;"_"&amp;D1666</f>
        <v>Santa Catarina_Optimal Summer_270</v>
      </c>
      <c r="B1666" s="501" t="s">
        <v>1011</v>
      </c>
      <c r="C1666" s="429">
        <v>11</v>
      </c>
      <c r="D1666" s="429">
        <v>270</v>
      </c>
      <c r="E1666" s="429">
        <v>3.39</v>
      </c>
      <c r="F1666" s="429">
        <v>4.03</v>
      </c>
      <c r="G1666" s="429">
        <v>4.79</v>
      </c>
      <c r="H1666" s="429">
        <v>4.7300000000000004</v>
      </c>
      <c r="I1666" s="429">
        <v>4.92</v>
      </c>
      <c r="J1666" s="429">
        <v>4.8099999999999996</v>
      </c>
      <c r="K1666" s="429">
        <v>4.7300000000000004</v>
      </c>
      <c r="L1666" s="429">
        <v>4.57</v>
      </c>
      <c r="M1666" s="429">
        <v>4.1100000000000003</v>
      </c>
      <c r="N1666" s="429">
        <v>4</v>
      </c>
      <c r="O1666" s="429">
        <v>3.69</v>
      </c>
      <c r="P1666" s="429">
        <v>3.28</v>
      </c>
      <c r="Q1666" s="179">
        <f t="shared" ref="Q1666:Q1729" si="51">AVERAGE(E1666:P1666)</f>
        <v>4.2541666666666664</v>
      </c>
      <c r="R1666" s="179" t="s">
        <v>958</v>
      </c>
    </row>
    <row r="1667" spans="1:18" x14ac:dyDescent="0.15">
      <c r="A1667" s="179" t="str">
        <f t="shared" si="50"/>
        <v>Santa Catarina_Optimal Year Round_90</v>
      </c>
      <c r="B1667" s="501" t="s">
        <v>1011</v>
      </c>
      <c r="C1667" s="429">
        <v>26</v>
      </c>
      <c r="D1667" s="429">
        <v>90</v>
      </c>
      <c r="E1667" s="431">
        <v>3.86</v>
      </c>
      <c r="F1667" s="431">
        <v>4.41</v>
      </c>
      <c r="G1667" s="431">
        <v>4.9800000000000004</v>
      </c>
      <c r="H1667" s="431">
        <v>4.6399999999999997</v>
      </c>
      <c r="I1667" s="431">
        <v>4.62</v>
      </c>
      <c r="J1667" s="431">
        <v>4.4400000000000004</v>
      </c>
      <c r="K1667" s="431">
        <v>4.4000000000000004</v>
      </c>
      <c r="L1667" s="431">
        <v>4.38</v>
      </c>
      <c r="M1667" s="431">
        <v>4.1500000000000004</v>
      </c>
      <c r="N1667" s="431">
        <v>4.2699999999999996</v>
      </c>
      <c r="O1667" s="431">
        <v>4.16</v>
      </c>
      <c r="P1667" s="431">
        <v>3.78</v>
      </c>
      <c r="Q1667" s="179">
        <f t="shared" si="51"/>
        <v>4.3408333333333333</v>
      </c>
      <c r="R1667" s="179" t="s">
        <v>993</v>
      </c>
    </row>
    <row r="1668" spans="1:18" x14ac:dyDescent="0.15">
      <c r="A1668" s="179" t="str">
        <f t="shared" si="50"/>
        <v>Santa Catarina_Optimal Year Round_112.5</v>
      </c>
      <c r="B1668" s="501" t="s">
        <v>1011</v>
      </c>
      <c r="C1668" s="429">
        <v>26</v>
      </c>
      <c r="D1668" s="429">
        <v>112.5</v>
      </c>
      <c r="E1668" s="431">
        <v>4.22</v>
      </c>
      <c r="F1668" s="431">
        <v>4.82</v>
      </c>
      <c r="G1668" s="431">
        <v>5.44</v>
      </c>
      <c r="H1668" s="431">
        <v>5.08</v>
      </c>
      <c r="I1668" s="431">
        <v>5.05</v>
      </c>
      <c r="J1668" s="431">
        <v>4.8600000000000003</v>
      </c>
      <c r="K1668" s="431">
        <v>4.8099999999999996</v>
      </c>
      <c r="L1668" s="431">
        <v>4.8</v>
      </c>
      <c r="M1668" s="431">
        <v>4.54</v>
      </c>
      <c r="N1668" s="431">
        <v>4.67</v>
      </c>
      <c r="O1668" s="431">
        <v>4.55</v>
      </c>
      <c r="P1668" s="431">
        <v>4.1399999999999997</v>
      </c>
      <c r="Q1668" s="179">
        <f t="shared" si="51"/>
        <v>4.7483333333333331</v>
      </c>
      <c r="R1668" s="179" t="s">
        <v>993</v>
      </c>
    </row>
    <row r="1669" spans="1:18" x14ac:dyDescent="0.15">
      <c r="A1669" s="179" t="str">
        <f t="shared" si="50"/>
        <v>Santa Catarina_Optimal Year Round_135</v>
      </c>
      <c r="B1669" s="501" t="s">
        <v>1011</v>
      </c>
      <c r="C1669" s="429">
        <v>26</v>
      </c>
      <c r="D1669" s="429">
        <v>135</v>
      </c>
      <c r="E1669" s="431">
        <v>4.58</v>
      </c>
      <c r="F1669" s="431">
        <v>5.23</v>
      </c>
      <c r="G1669" s="431">
        <v>5.91</v>
      </c>
      <c r="H1669" s="431">
        <v>5.51</v>
      </c>
      <c r="I1669" s="431">
        <v>5.48</v>
      </c>
      <c r="J1669" s="431">
        <v>5.27</v>
      </c>
      <c r="K1669" s="431">
        <v>5.22</v>
      </c>
      <c r="L1669" s="431">
        <v>5.21</v>
      </c>
      <c r="M1669" s="431">
        <v>4.93</v>
      </c>
      <c r="N1669" s="431">
        <v>5.07</v>
      </c>
      <c r="O1669" s="431">
        <v>4.9400000000000004</v>
      </c>
      <c r="P1669" s="431">
        <v>4.49</v>
      </c>
      <c r="Q1669" s="179">
        <f t="shared" si="51"/>
        <v>5.1533333333333333</v>
      </c>
      <c r="R1669" s="179" t="s">
        <v>993</v>
      </c>
    </row>
    <row r="1670" spans="1:18" x14ac:dyDescent="0.15">
      <c r="A1670" s="179" t="str">
        <f t="shared" si="50"/>
        <v>Santa Catarina_Optimal Year Round_157.5</v>
      </c>
      <c r="B1670" s="501" t="s">
        <v>1011</v>
      </c>
      <c r="C1670" s="429">
        <v>26</v>
      </c>
      <c r="D1670" s="429">
        <v>157.5</v>
      </c>
      <c r="E1670" s="431">
        <v>4.7</v>
      </c>
      <c r="F1670" s="431">
        <v>5.37</v>
      </c>
      <c r="G1670" s="431">
        <v>6.06</v>
      </c>
      <c r="H1670" s="431">
        <v>5.66</v>
      </c>
      <c r="I1670" s="431">
        <v>5.63</v>
      </c>
      <c r="J1670" s="431">
        <v>5.41</v>
      </c>
      <c r="K1670" s="431">
        <v>5.36</v>
      </c>
      <c r="L1670" s="431">
        <v>5.34</v>
      </c>
      <c r="M1670" s="431">
        <v>5.0599999999999996</v>
      </c>
      <c r="N1670" s="431">
        <v>5.21</v>
      </c>
      <c r="O1670" s="431">
        <v>5.07</v>
      </c>
      <c r="P1670" s="431">
        <v>4.6100000000000003</v>
      </c>
      <c r="Q1670" s="179">
        <f t="shared" si="51"/>
        <v>5.29</v>
      </c>
      <c r="R1670" s="179" t="s">
        <v>993</v>
      </c>
    </row>
    <row r="1671" spans="1:18" x14ac:dyDescent="0.15">
      <c r="A1671" s="179" t="str">
        <f t="shared" si="50"/>
        <v>Santa Catarina_Optimal Year Round_180</v>
      </c>
      <c r="B1671" s="501" t="s">
        <v>1011</v>
      </c>
      <c r="C1671" s="429">
        <v>26</v>
      </c>
      <c r="D1671" s="429">
        <v>180</v>
      </c>
      <c r="E1671" s="431">
        <v>4.82</v>
      </c>
      <c r="F1671" s="431">
        <v>5.51</v>
      </c>
      <c r="G1671" s="431">
        <v>6.22</v>
      </c>
      <c r="H1671" s="431">
        <v>5.8</v>
      </c>
      <c r="I1671" s="431">
        <v>5.77</v>
      </c>
      <c r="J1671" s="431">
        <v>5.55</v>
      </c>
      <c r="K1671" s="431">
        <v>5.5</v>
      </c>
      <c r="L1671" s="431">
        <v>5.48</v>
      </c>
      <c r="M1671" s="431">
        <v>5.19</v>
      </c>
      <c r="N1671" s="431">
        <v>5.34</v>
      </c>
      <c r="O1671" s="431">
        <v>5.2</v>
      </c>
      <c r="P1671" s="431">
        <v>4.7300000000000004</v>
      </c>
      <c r="Q1671" s="179">
        <f t="shared" si="51"/>
        <v>5.4258333333333342</v>
      </c>
      <c r="R1671" s="179" t="s">
        <v>993</v>
      </c>
    </row>
    <row r="1672" spans="1:18" x14ac:dyDescent="0.15">
      <c r="A1672" s="179" t="str">
        <f t="shared" si="50"/>
        <v>Santa Catarina_Optimal Year Round_202.5</v>
      </c>
      <c r="B1672" s="501" t="s">
        <v>1011</v>
      </c>
      <c r="C1672" s="429">
        <v>26</v>
      </c>
      <c r="D1672" s="429">
        <v>202.5</v>
      </c>
      <c r="E1672" s="431">
        <v>4.7</v>
      </c>
      <c r="F1672" s="431">
        <v>5.37</v>
      </c>
      <c r="G1672" s="431">
        <v>6.06</v>
      </c>
      <c r="H1672" s="431">
        <v>5.66</v>
      </c>
      <c r="I1672" s="431">
        <v>5.63</v>
      </c>
      <c r="J1672" s="431">
        <v>5.41</v>
      </c>
      <c r="K1672" s="431">
        <v>5.36</v>
      </c>
      <c r="L1672" s="431">
        <v>5.34</v>
      </c>
      <c r="M1672" s="431">
        <v>5.0599999999999996</v>
      </c>
      <c r="N1672" s="431">
        <v>5.21</v>
      </c>
      <c r="O1672" s="431">
        <v>5.07</v>
      </c>
      <c r="P1672" s="431">
        <v>4.6100000000000003</v>
      </c>
      <c r="Q1672" s="179">
        <f t="shared" si="51"/>
        <v>5.29</v>
      </c>
      <c r="R1672" s="179" t="s">
        <v>993</v>
      </c>
    </row>
    <row r="1673" spans="1:18" x14ac:dyDescent="0.15">
      <c r="A1673" s="179" t="str">
        <f t="shared" si="50"/>
        <v>Santa Catarina_Optimal Year Round_225</v>
      </c>
      <c r="B1673" s="501" t="s">
        <v>1011</v>
      </c>
      <c r="C1673" s="429">
        <v>26</v>
      </c>
      <c r="D1673" s="429">
        <v>225</v>
      </c>
      <c r="E1673" s="429">
        <v>4.58</v>
      </c>
      <c r="F1673" s="429">
        <v>5.23</v>
      </c>
      <c r="G1673" s="429">
        <v>5.91</v>
      </c>
      <c r="H1673" s="429">
        <v>5.51</v>
      </c>
      <c r="I1673" s="429">
        <v>5.48</v>
      </c>
      <c r="J1673" s="429">
        <v>5.27</v>
      </c>
      <c r="K1673" s="429">
        <v>5.22</v>
      </c>
      <c r="L1673" s="429">
        <v>5.21</v>
      </c>
      <c r="M1673" s="429">
        <v>4.93</v>
      </c>
      <c r="N1673" s="429">
        <v>5.07</v>
      </c>
      <c r="O1673" s="429">
        <v>4.9400000000000004</v>
      </c>
      <c r="P1673" s="429">
        <v>4.49</v>
      </c>
      <c r="Q1673" s="179">
        <f t="shared" si="51"/>
        <v>5.1533333333333333</v>
      </c>
      <c r="R1673" s="179" t="s">
        <v>993</v>
      </c>
    </row>
    <row r="1674" spans="1:18" x14ac:dyDescent="0.15">
      <c r="A1674" s="179" t="str">
        <f t="shared" si="50"/>
        <v>Santa Catarina_Optimal Year Round_247.5</v>
      </c>
      <c r="B1674" s="501" t="s">
        <v>1011</v>
      </c>
      <c r="C1674" s="429">
        <v>26</v>
      </c>
      <c r="D1674" s="429">
        <v>247.5</v>
      </c>
      <c r="E1674" s="429">
        <v>4.22</v>
      </c>
      <c r="F1674" s="429">
        <v>4.82</v>
      </c>
      <c r="G1674" s="429">
        <v>5.44</v>
      </c>
      <c r="H1674" s="429">
        <v>5.08</v>
      </c>
      <c r="I1674" s="429">
        <v>5.05</v>
      </c>
      <c r="J1674" s="429">
        <v>4.8600000000000003</v>
      </c>
      <c r="K1674" s="429">
        <v>4.8099999999999996</v>
      </c>
      <c r="L1674" s="429">
        <v>4.8</v>
      </c>
      <c r="M1674" s="429">
        <v>4.54</v>
      </c>
      <c r="N1674" s="429">
        <v>4.67</v>
      </c>
      <c r="O1674" s="429">
        <v>4.55</v>
      </c>
      <c r="P1674" s="429">
        <v>4.1399999999999997</v>
      </c>
      <c r="Q1674" s="179">
        <f t="shared" si="51"/>
        <v>4.7483333333333331</v>
      </c>
      <c r="R1674" s="179" t="s">
        <v>993</v>
      </c>
    </row>
    <row r="1675" spans="1:18" x14ac:dyDescent="0.15">
      <c r="A1675" s="179" t="str">
        <f t="shared" si="50"/>
        <v>Santa Catarina_Optimal Year Round_270</v>
      </c>
      <c r="B1675" s="501" t="s">
        <v>1011</v>
      </c>
      <c r="C1675" s="429">
        <v>26</v>
      </c>
      <c r="D1675" s="429">
        <v>270</v>
      </c>
      <c r="E1675" s="429">
        <v>3.86</v>
      </c>
      <c r="F1675" s="429">
        <v>4.41</v>
      </c>
      <c r="G1675" s="429">
        <v>4.9800000000000004</v>
      </c>
      <c r="H1675" s="429">
        <v>4.6399999999999997</v>
      </c>
      <c r="I1675" s="429">
        <v>4.62</v>
      </c>
      <c r="J1675" s="429">
        <v>4.4400000000000004</v>
      </c>
      <c r="K1675" s="429">
        <v>4.4000000000000004</v>
      </c>
      <c r="L1675" s="429">
        <v>4.38</v>
      </c>
      <c r="M1675" s="429">
        <v>4.1500000000000004</v>
      </c>
      <c r="N1675" s="429">
        <v>4.2699999999999996</v>
      </c>
      <c r="O1675" s="429">
        <v>4.16</v>
      </c>
      <c r="P1675" s="429">
        <v>3.78</v>
      </c>
      <c r="Q1675" s="179">
        <f t="shared" si="51"/>
        <v>4.3408333333333333</v>
      </c>
      <c r="R1675" s="179" t="s">
        <v>993</v>
      </c>
    </row>
    <row r="1676" spans="1:18" x14ac:dyDescent="0.15">
      <c r="A1676" s="179" t="str">
        <f t="shared" si="50"/>
        <v>Tampico_Flat Surface_90</v>
      </c>
      <c r="B1676" s="501" t="s">
        <v>1153</v>
      </c>
      <c r="C1676" s="429">
        <v>0</v>
      </c>
      <c r="D1676" s="429">
        <v>90</v>
      </c>
      <c r="E1676" s="431">
        <v>3.2</v>
      </c>
      <c r="F1676" s="431">
        <v>4.07</v>
      </c>
      <c r="G1676" s="431">
        <v>4.92</v>
      </c>
      <c r="H1676" s="431">
        <v>5.58</v>
      </c>
      <c r="I1676" s="431">
        <v>6.22</v>
      </c>
      <c r="J1676" s="431">
        <v>5.99</v>
      </c>
      <c r="K1676" s="431">
        <v>5.87</v>
      </c>
      <c r="L1676" s="431">
        <v>5.78</v>
      </c>
      <c r="M1676" s="431">
        <v>5</v>
      </c>
      <c r="N1676" s="431">
        <v>4.58</v>
      </c>
      <c r="O1676" s="431">
        <v>3.81</v>
      </c>
      <c r="P1676" s="431">
        <v>3.07</v>
      </c>
      <c r="Q1676" s="179">
        <f t="shared" si="51"/>
        <v>4.8408333333333333</v>
      </c>
      <c r="R1676" s="179" t="s">
        <v>994</v>
      </c>
    </row>
    <row r="1677" spans="1:18" x14ac:dyDescent="0.15">
      <c r="A1677" s="179" t="str">
        <f t="shared" si="50"/>
        <v>Tampico_Flat Surface_112.5</v>
      </c>
      <c r="B1677" s="501" t="s">
        <v>1153</v>
      </c>
      <c r="C1677" s="429">
        <v>0</v>
      </c>
      <c r="D1677" s="429">
        <v>112.5</v>
      </c>
      <c r="E1677" s="431">
        <v>3.2</v>
      </c>
      <c r="F1677" s="431">
        <v>4.07</v>
      </c>
      <c r="G1677" s="431">
        <v>4.92</v>
      </c>
      <c r="H1677" s="431">
        <v>5.58</v>
      </c>
      <c r="I1677" s="431">
        <v>6.22</v>
      </c>
      <c r="J1677" s="431">
        <v>5.99</v>
      </c>
      <c r="K1677" s="431">
        <v>5.87</v>
      </c>
      <c r="L1677" s="431">
        <v>5.78</v>
      </c>
      <c r="M1677" s="431">
        <v>5</v>
      </c>
      <c r="N1677" s="431">
        <v>4.58</v>
      </c>
      <c r="O1677" s="431">
        <v>3.81</v>
      </c>
      <c r="P1677" s="431">
        <v>3.07</v>
      </c>
      <c r="Q1677" s="179">
        <f t="shared" si="51"/>
        <v>4.8408333333333333</v>
      </c>
      <c r="R1677" s="179" t="s">
        <v>994</v>
      </c>
    </row>
    <row r="1678" spans="1:18" x14ac:dyDescent="0.15">
      <c r="A1678" s="179" t="str">
        <f t="shared" si="50"/>
        <v>Tampico_Flat Surface_135</v>
      </c>
      <c r="B1678" s="501" t="s">
        <v>1153</v>
      </c>
      <c r="C1678" s="429">
        <v>0</v>
      </c>
      <c r="D1678" s="429">
        <v>135</v>
      </c>
      <c r="E1678" s="431">
        <v>3.2</v>
      </c>
      <c r="F1678" s="431">
        <v>4.07</v>
      </c>
      <c r="G1678" s="431">
        <v>4.92</v>
      </c>
      <c r="H1678" s="431">
        <v>5.58</v>
      </c>
      <c r="I1678" s="431">
        <v>6.22</v>
      </c>
      <c r="J1678" s="431">
        <v>5.99</v>
      </c>
      <c r="K1678" s="431">
        <v>5.87</v>
      </c>
      <c r="L1678" s="431">
        <v>5.78</v>
      </c>
      <c r="M1678" s="431">
        <v>5</v>
      </c>
      <c r="N1678" s="431">
        <v>4.58</v>
      </c>
      <c r="O1678" s="431">
        <v>3.81</v>
      </c>
      <c r="P1678" s="431">
        <v>3.07</v>
      </c>
      <c r="Q1678" s="179">
        <f t="shared" si="51"/>
        <v>4.8408333333333333</v>
      </c>
      <c r="R1678" s="179" t="s">
        <v>994</v>
      </c>
    </row>
    <row r="1679" spans="1:18" x14ac:dyDescent="0.15">
      <c r="A1679" s="179" t="str">
        <f t="shared" si="50"/>
        <v>Tampico_Flat Surface_157.5</v>
      </c>
      <c r="B1679" s="501" t="s">
        <v>1153</v>
      </c>
      <c r="C1679" s="429">
        <v>0</v>
      </c>
      <c r="D1679" s="429">
        <v>157.5</v>
      </c>
      <c r="E1679" s="431">
        <v>3.2</v>
      </c>
      <c r="F1679" s="431">
        <v>4.07</v>
      </c>
      <c r="G1679" s="431">
        <v>4.92</v>
      </c>
      <c r="H1679" s="431">
        <v>5.58</v>
      </c>
      <c r="I1679" s="431">
        <v>6.22</v>
      </c>
      <c r="J1679" s="431">
        <v>5.99</v>
      </c>
      <c r="K1679" s="431">
        <v>5.87</v>
      </c>
      <c r="L1679" s="431">
        <v>5.78</v>
      </c>
      <c r="M1679" s="431">
        <v>5</v>
      </c>
      <c r="N1679" s="431">
        <v>4.58</v>
      </c>
      <c r="O1679" s="431">
        <v>3.81</v>
      </c>
      <c r="P1679" s="431">
        <v>3.07</v>
      </c>
      <c r="Q1679" s="179">
        <f t="shared" si="51"/>
        <v>4.8408333333333333</v>
      </c>
      <c r="R1679" s="179" t="s">
        <v>994</v>
      </c>
    </row>
    <row r="1680" spans="1:18" x14ac:dyDescent="0.15">
      <c r="A1680" s="179" t="str">
        <f t="shared" si="50"/>
        <v>Tampico_Flat Surface_180</v>
      </c>
      <c r="B1680" s="501" t="s">
        <v>1153</v>
      </c>
      <c r="C1680" s="429">
        <v>0</v>
      </c>
      <c r="D1680" s="429">
        <v>180</v>
      </c>
      <c r="E1680" s="431">
        <v>3.2</v>
      </c>
      <c r="F1680" s="431">
        <v>4.07</v>
      </c>
      <c r="G1680" s="431">
        <v>4.92</v>
      </c>
      <c r="H1680" s="431">
        <v>5.58</v>
      </c>
      <c r="I1680" s="431">
        <v>6.22</v>
      </c>
      <c r="J1680" s="431">
        <v>5.99</v>
      </c>
      <c r="K1680" s="431">
        <v>5.87</v>
      </c>
      <c r="L1680" s="431">
        <v>5.78</v>
      </c>
      <c r="M1680" s="431">
        <v>5</v>
      </c>
      <c r="N1680" s="431">
        <v>4.58</v>
      </c>
      <c r="O1680" s="431">
        <v>3.81</v>
      </c>
      <c r="P1680" s="431">
        <v>3.07</v>
      </c>
      <c r="Q1680" s="179">
        <f t="shared" si="51"/>
        <v>4.8408333333333333</v>
      </c>
      <c r="R1680" s="179" t="s">
        <v>994</v>
      </c>
    </row>
    <row r="1681" spans="1:18" x14ac:dyDescent="0.15">
      <c r="A1681" s="179" t="str">
        <f t="shared" si="50"/>
        <v>Tampico_Flat Surface_202.5</v>
      </c>
      <c r="B1681" s="501" t="s">
        <v>1153</v>
      </c>
      <c r="C1681" s="429">
        <v>0</v>
      </c>
      <c r="D1681" s="429">
        <v>202.5</v>
      </c>
      <c r="E1681" s="431">
        <v>3.2</v>
      </c>
      <c r="F1681" s="431">
        <v>4.07</v>
      </c>
      <c r="G1681" s="431">
        <v>4.92</v>
      </c>
      <c r="H1681" s="431">
        <v>5.58</v>
      </c>
      <c r="I1681" s="431">
        <v>6.22</v>
      </c>
      <c r="J1681" s="431">
        <v>5.99</v>
      </c>
      <c r="K1681" s="431">
        <v>5.87</v>
      </c>
      <c r="L1681" s="431">
        <v>5.78</v>
      </c>
      <c r="M1681" s="431">
        <v>5</v>
      </c>
      <c r="N1681" s="431">
        <v>4.58</v>
      </c>
      <c r="O1681" s="431">
        <v>3.81</v>
      </c>
      <c r="P1681" s="431">
        <v>3.07</v>
      </c>
      <c r="Q1681" s="179">
        <f t="shared" si="51"/>
        <v>4.8408333333333333</v>
      </c>
      <c r="R1681" s="179" t="s">
        <v>994</v>
      </c>
    </row>
    <row r="1682" spans="1:18" x14ac:dyDescent="0.15">
      <c r="A1682" s="179" t="str">
        <f t="shared" si="50"/>
        <v>Tampico_Flat Surface_225</v>
      </c>
      <c r="B1682" s="501" t="s">
        <v>1153</v>
      </c>
      <c r="C1682" s="429">
        <v>0</v>
      </c>
      <c r="D1682" s="429">
        <v>225</v>
      </c>
      <c r="E1682" s="431">
        <v>3.2</v>
      </c>
      <c r="F1682" s="431">
        <v>4.07</v>
      </c>
      <c r="G1682" s="431">
        <v>4.92</v>
      </c>
      <c r="H1682" s="431">
        <v>5.58</v>
      </c>
      <c r="I1682" s="431">
        <v>6.22</v>
      </c>
      <c r="J1682" s="431">
        <v>5.99</v>
      </c>
      <c r="K1682" s="431">
        <v>5.87</v>
      </c>
      <c r="L1682" s="431">
        <v>5.78</v>
      </c>
      <c r="M1682" s="431">
        <v>5</v>
      </c>
      <c r="N1682" s="431">
        <v>4.58</v>
      </c>
      <c r="O1682" s="431">
        <v>3.81</v>
      </c>
      <c r="P1682" s="431">
        <v>3.07</v>
      </c>
      <c r="Q1682" s="179">
        <f t="shared" si="51"/>
        <v>4.8408333333333333</v>
      </c>
      <c r="R1682" s="179" t="s">
        <v>994</v>
      </c>
    </row>
    <row r="1683" spans="1:18" x14ac:dyDescent="0.15">
      <c r="A1683" s="179" t="str">
        <f t="shared" si="50"/>
        <v>Tampico_Flat Surface_247.5</v>
      </c>
      <c r="B1683" s="501" t="s">
        <v>1153</v>
      </c>
      <c r="C1683" s="429">
        <v>0</v>
      </c>
      <c r="D1683" s="429">
        <v>247.5</v>
      </c>
      <c r="E1683" s="431">
        <v>3.2</v>
      </c>
      <c r="F1683" s="431">
        <v>4.07</v>
      </c>
      <c r="G1683" s="431">
        <v>4.92</v>
      </c>
      <c r="H1683" s="431">
        <v>5.58</v>
      </c>
      <c r="I1683" s="431">
        <v>6.22</v>
      </c>
      <c r="J1683" s="431">
        <v>5.99</v>
      </c>
      <c r="K1683" s="431">
        <v>5.87</v>
      </c>
      <c r="L1683" s="431">
        <v>5.78</v>
      </c>
      <c r="M1683" s="431">
        <v>5</v>
      </c>
      <c r="N1683" s="431">
        <v>4.58</v>
      </c>
      <c r="O1683" s="431">
        <v>3.81</v>
      </c>
      <c r="P1683" s="431">
        <v>3.07</v>
      </c>
      <c r="Q1683" s="179">
        <f t="shared" si="51"/>
        <v>4.8408333333333333</v>
      </c>
      <c r="R1683" s="179" t="s">
        <v>994</v>
      </c>
    </row>
    <row r="1684" spans="1:18" x14ac:dyDescent="0.15">
      <c r="A1684" s="179" t="str">
        <f t="shared" si="50"/>
        <v>Tampico_Flat Surface_270</v>
      </c>
      <c r="B1684" s="501" t="s">
        <v>1153</v>
      </c>
      <c r="C1684" s="429">
        <v>0</v>
      </c>
      <c r="D1684" s="429">
        <v>270</v>
      </c>
      <c r="E1684" s="431">
        <v>3.2</v>
      </c>
      <c r="F1684" s="431">
        <v>4.07</v>
      </c>
      <c r="G1684" s="431">
        <v>4.92</v>
      </c>
      <c r="H1684" s="431">
        <v>5.58</v>
      </c>
      <c r="I1684" s="431">
        <v>6.22</v>
      </c>
      <c r="J1684" s="431">
        <v>5.99</v>
      </c>
      <c r="K1684" s="431">
        <v>5.87</v>
      </c>
      <c r="L1684" s="431">
        <v>5.78</v>
      </c>
      <c r="M1684" s="431">
        <v>5</v>
      </c>
      <c r="N1684" s="431">
        <v>4.58</v>
      </c>
      <c r="O1684" s="431">
        <v>3.81</v>
      </c>
      <c r="P1684" s="431">
        <v>3.07</v>
      </c>
      <c r="Q1684" s="179">
        <f t="shared" si="51"/>
        <v>4.8408333333333333</v>
      </c>
      <c r="R1684" s="179" t="s">
        <v>994</v>
      </c>
    </row>
    <row r="1685" spans="1:18" x14ac:dyDescent="0.15">
      <c r="A1685" s="179" t="str">
        <f t="shared" si="50"/>
        <v>Tampico_Optimal Summer_90</v>
      </c>
      <c r="B1685" s="501" t="s">
        <v>1153</v>
      </c>
      <c r="C1685" s="429">
        <v>7</v>
      </c>
      <c r="D1685" s="429">
        <v>90</v>
      </c>
      <c r="E1685" s="431">
        <v>2.74</v>
      </c>
      <c r="F1685" s="431">
        <v>3.43</v>
      </c>
      <c r="G1685" s="431">
        <v>4.0599999999999996</v>
      </c>
      <c r="H1685" s="431">
        <v>4.5</v>
      </c>
      <c r="I1685" s="431">
        <v>4.91</v>
      </c>
      <c r="J1685" s="431">
        <v>4.83</v>
      </c>
      <c r="K1685" s="431">
        <v>4.62</v>
      </c>
      <c r="L1685" s="431">
        <v>4.62</v>
      </c>
      <c r="M1685" s="431">
        <v>4.08</v>
      </c>
      <c r="N1685" s="431">
        <v>3.84</v>
      </c>
      <c r="O1685" s="431">
        <v>3.28</v>
      </c>
      <c r="P1685" s="431">
        <v>2.64</v>
      </c>
      <c r="Q1685" s="179">
        <f t="shared" si="51"/>
        <v>3.9624999999999999</v>
      </c>
      <c r="R1685" s="179" t="s">
        <v>958</v>
      </c>
    </row>
    <row r="1686" spans="1:18" x14ac:dyDescent="0.15">
      <c r="A1686" s="179" t="str">
        <f t="shared" si="50"/>
        <v>Tampico_Optimal Summer_112.5</v>
      </c>
      <c r="B1686" s="501" t="s">
        <v>1153</v>
      </c>
      <c r="C1686" s="429">
        <v>7</v>
      </c>
      <c r="D1686" s="429">
        <v>112.5</v>
      </c>
      <c r="E1686" s="431">
        <v>3</v>
      </c>
      <c r="F1686" s="431">
        <v>3.75</v>
      </c>
      <c r="G1686" s="431">
        <v>4.4400000000000004</v>
      </c>
      <c r="H1686" s="431">
        <v>4.92</v>
      </c>
      <c r="I1686" s="431">
        <v>5.37</v>
      </c>
      <c r="J1686" s="431">
        <v>5.28</v>
      </c>
      <c r="K1686" s="431">
        <v>5.0599999999999996</v>
      </c>
      <c r="L1686" s="431">
        <v>5.0599999999999996</v>
      </c>
      <c r="M1686" s="431">
        <v>4.46</v>
      </c>
      <c r="N1686" s="431">
        <v>4.2</v>
      </c>
      <c r="O1686" s="431">
        <v>3.59</v>
      </c>
      <c r="P1686" s="431">
        <v>2.89</v>
      </c>
      <c r="Q1686" s="179">
        <f t="shared" si="51"/>
        <v>4.3350000000000009</v>
      </c>
      <c r="R1686" s="179" t="s">
        <v>958</v>
      </c>
    </row>
    <row r="1687" spans="1:18" x14ac:dyDescent="0.15">
      <c r="A1687" s="179" t="str">
        <f t="shared" si="50"/>
        <v>Tampico_Optimal Summer_135</v>
      </c>
      <c r="B1687" s="501" t="s">
        <v>1153</v>
      </c>
      <c r="C1687" s="429">
        <v>7</v>
      </c>
      <c r="D1687" s="429">
        <v>135</v>
      </c>
      <c r="E1687" s="431">
        <v>3.26</v>
      </c>
      <c r="F1687" s="431">
        <v>4.08</v>
      </c>
      <c r="G1687" s="431">
        <v>4.82</v>
      </c>
      <c r="H1687" s="431">
        <v>5.34</v>
      </c>
      <c r="I1687" s="431">
        <v>5.83</v>
      </c>
      <c r="J1687" s="431">
        <v>5.74</v>
      </c>
      <c r="K1687" s="431">
        <v>5.49</v>
      </c>
      <c r="L1687" s="431">
        <v>5.49</v>
      </c>
      <c r="M1687" s="431">
        <v>4.84</v>
      </c>
      <c r="N1687" s="431">
        <v>4.5599999999999996</v>
      </c>
      <c r="O1687" s="431">
        <v>3.9</v>
      </c>
      <c r="P1687" s="431">
        <v>3.14</v>
      </c>
      <c r="Q1687" s="179">
        <f t="shared" si="51"/>
        <v>4.7075000000000005</v>
      </c>
      <c r="R1687" s="179" t="s">
        <v>958</v>
      </c>
    </row>
    <row r="1688" spans="1:18" x14ac:dyDescent="0.15">
      <c r="A1688" s="179" t="str">
        <f t="shared" si="50"/>
        <v>Tampico_Optimal Summer_157.5</v>
      </c>
      <c r="B1688" s="501" t="s">
        <v>1153</v>
      </c>
      <c r="C1688" s="429">
        <v>7</v>
      </c>
      <c r="D1688" s="429">
        <v>157.5</v>
      </c>
      <c r="E1688" s="431">
        <v>3.34</v>
      </c>
      <c r="F1688" s="431">
        <v>4.18</v>
      </c>
      <c r="G1688" s="431">
        <v>4.9400000000000004</v>
      </c>
      <c r="H1688" s="431">
        <v>5.48</v>
      </c>
      <c r="I1688" s="431">
        <v>5.99</v>
      </c>
      <c r="J1688" s="431">
        <v>5.89</v>
      </c>
      <c r="K1688" s="431">
        <v>5.64</v>
      </c>
      <c r="L1688" s="431">
        <v>5.64</v>
      </c>
      <c r="M1688" s="431">
        <v>4.97</v>
      </c>
      <c r="N1688" s="431">
        <v>4.68</v>
      </c>
      <c r="O1688" s="431">
        <v>4</v>
      </c>
      <c r="P1688" s="431">
        <v>3.22</v>
      </c>
      <c r="Q1688" s="179">
        <f t="shared" si="51"/>
        <v>4.8308333333333335</v>
      </c>
      <c r="R1688" s="179" t="s">
        <v>958</v>
      </c>
    </row>
    <row r="1689" spans="1:18" x14ac:dyDescent="0.15">
      <c r="A1689" s="179" t="str">
        <f t="shared" si="50"/>
        <v>Tampico_Optimal Summer_180</v>
      </c>
      <c r="B1689" s="501" t="s">
        <v>1153</v>
      </c>
      <c r="C1689" s="429">
        <v>7</v>
      </c>
      <c r="D1689" s="429">
        <v>180</v>
      </c>
      <c r="E1689" s="431">
        <v>3.43</v>
      </c>
      <c r="F1689" s="431">
        <v>4.29</v>
      </c>
      <c r="G1689" s="431">
        <v>5.07</v>
      </c>
      <c r="H1689" s="431">
        <v>5.62</v>
      </c>
      <c r="I1689" s="431">
        <v>6.14</v>
      </c>
      <c r="J1689" s="431">
        <v>6.04</v>
      </c>
      <c r="K1689" s="431">
        <v>5.78</v>
      </c>
      <c r="L1689" s="431">
        <v>5.78</v>
      </c>
      <c r="M1689" s="431">
        <v>5.0999999999999996</v>
      </c>
      <c r="N1689" s="431">
        <v>4.8</v>
      </c>
      <c r="O1689" s="431">
        <v>4.0999999999999996</v>
      </c>
      <c r="P1689" s="431">
        <v>3.3</v>
      </c>
      <c r="Q1689" s="179">
        <f t="shared" si="51"/>
        <v>4.9541666666666666</v>
      </c>
      <c r="R1689" s="179" t="s">
        <v>958</v>
      </c>
    </row>
    <row r="1690" spans="1:18" x14ac:dyDescent="0.15">
      <c r="A1690" s="179" t="str">
        <f t="shared" si="50"/>
        <v>Tampico_Optimal Summer_202.5</v>
      </c>
      <c r="B1690" s="501" t="s">
        <v>1153</v>
      </c>
      <c r="C1690" s="429">
        <v>7</v>
      </c>
      <c r="D1690" s="429">
        <v>202.5</v>
      </c>
      <c r="E1690" s="431">
        <v>3.34</v>
      </c>
      <c r="F1690" s="431">
        <v>4.18</v>
      </c>
      <c r="G1690" s="431">
        <v>4.9400000000000004</v>
      </c>
      <c r="H1690" s="431">
        <v>5.48</v>
      </c>
      <c r="I1690" s="431">
        <v>5.99</v>
      </c>
      <c r="J1690" s="431">
        <v>5.89</v>
      </c>
      <c r="K1690" s="431">
        <v>5.64</v>
      </c>
      <c r="L1690" s="431">
        <v>5.64</v>
      </c>
      <c r="M1690" s="431">
        <v>4.97</v>
      </c>
      <c r="N1690" s="431">
        <v>4.68</v>
      </c>
      <c r="O1690" s="431">
        <v>4</v>
      </c>
      <c r="P1690" s="431">
        <v>3.22</v>
      </c>
      <c r="Q1690" s="179">
        <f t="shared" si="51"/>
        <v>4.8308333333333335</v>
      </c>
      <c r="R1690" s="179" t="s">
        <v>958</v>
      </c>
    </row>
    <row r="1691" spans="1:18" x14ac:dyDescent="0.15">
      <c r="A1691" s="179" t="str">
        <f t="shared" si="50"/>
        <v>Tampico_Optimal Summer_225</v>
      </c>
      <c r="B1691" s="501" t="s">
        <v>1153</v>
      </c>
      <c r="C1691" s="429">
        <v>7</v>
      </c>
      <c r="D1691" s="429">
        <v>225</v>
      </c>
      <c r="E1691" s="429">
        <v>3.26</v>
      </c>
      <c r="F1691" s="429">
        <v>4.08</v>
      </c>
      <c r="G1691" s="429">
        <v>4.82</v>
      </c>
      <c r="H1691" s="429">
        <v>5.34</v>
      </c>
      <c r="I1691" s="429">
        <v>5.83</v>
      </c>
      <c r="J1691" s="429">
        <v>5.74</v>
      </c>
      <c r="K1691" s="429">
        <v>5.49</v>
      </c>
      <c r="L1691" s="429">
        <v>5.49</v>
      </c>
      <c r="M1691" s="429">
        <v>4.84</v>
      </c>
      <c r="N1691" s="429">
        <v>4.5599999999999996</v>
      </c>
      <c r="O1691" s="429">
        <v>3.9</v>
      </c>
      <c r="P1691" s="429">
        <v>3.14</v>
      </c>
      <c r="Q1691" s="179">
        <f t="shared" si="51"/>
        <v>4.7075000000000005</v>
      </c>
      <c r="R1691" s="179" t="s">
        <v>958</v>
      </c>
    </row>
    <row r="1692" spans="1:18" x14ac:dyDescent="0.15">
      <c r="A1692" s="179" t="str">
        <f t="shared" si="50"/>
        <v>Tampico_Optimal Summer_247.5</v>
      </c>
      <c r="B1692" s="501" t="s">
        <v>1153</v>
      </c>
      <c r="C1692" s="429">
        <v>7</v>
      </c>
      <c r="D1692" s="429">
        <v>247.5</v>
      </c>
      <c r="E1692" s="429">
        <v>3</v>
      </c>
      <c r="F1692" s="429">
        <v>3.75</v>
      </c>
      <c r="G1692" s="429">
        <v>4.4400000000000004</v>
      </c>
      <c r="H1692" s="429">
        <v>4.92</v>
      </c>
      <c r="I1692" s="429">
        <v>5.37</v>
      </c>
      <c r="J1692" s="429">
        <v>5.28</v>
      </c>
      <c r="K1692" s="429">
        <v>5.0599999999999996</v>
      </c>
      <c r="L1692" s="429">
        <v>5.0599999999999996</v>
      </c>
      <c r="M1692" s="429">
        <v>4.46</v>
      </c>
      <c r="N1692" s="429">
        <v>4.2</v>
      </c>
      <c r="O1692" s="429">
        <v>3.59</v>
      </c>
      <c r="P1692" s="429">
        <v>2.89</v>
      </c>
      <c r="Q1692" s="179">
        <f t="shared" si="51"/>
        <v>4.3350000000000009</v>
      </c>
      <c r="R1692" s="179" t="s">
        <v>958</v>
      </c>
    </row>
    <row r="1693" spans="1:18" x14ac:dyDescent="0.15">
      <c r="A1693" s="179" t="str">
        <f t="shared" si="50"/>
        <v>Tampico_Optimal Summer_270</v>
      </c>
      <c r="B1693" s="501" t="s">
        <v>1153</v>
      </c>
      <c r="C1693" s="429">
        <v>7</v>
      </c>
      <c r="D1693" s="429">
        <v>270</v>
      </c>
      <c r="E1693" s="429">
        <v>2.74</v>
      </c>
      <c r="F1693" s="429">
        <v>3.43</v>
      </c>
      <c r="G1693" s="429">
        <v>4.0599999999999996</v>
      </c>
      <c r="H1693" s="429">
        <v>4.5</v>
      </c>
      <c r="I1693" s="429">
        <v>4.91</v>
      </c>
      <c r="J1693" s="429">
        <v>4.83</v>
      </c>
      <c r="K1693" s="429">
        <v>4.62</v>
      </c>
      <c r="L1693" s="429">
        <v>4.62</v>
      </c>
      <c r="M1693" s="429">
        <v>4.08</v>
      </c>
      <c r="N1693" s="429">
        <v>3.84</v>
      </c>
      <c r="O1693" s="429">
        <v>3.28</v>
      </c>
      <c r="P1693" s="429">
        <v>2.64</v>
      </c>
      <c r="Q1693" s="179">
        <f t="shared" si="51"/>
        <v>3.9624999999999999</v>
      </c>
      <c r="R1693" s="179" t="s">
        <v>958</v>
      </c>
    </row>
    <row r="1694" spans="1:18" x14ac:dyDescent="0.15">
      <c r="A1694" s="179" t="str">
        <f t="shared" si="50"/>
        <v>Tampico_Optimal Year Round_90</v>
      </c>
      <c r="B1694" s="501" t="s">
        <v>1153</v>
      </c>
      <c r="C1694" s="429">
        <v>22</v>
      </c>
      <c r="D1694" s="429">
        <v>90</v>
      </c>
      <c r="E1694" s="431">
        <v>3.02</v>
      </c>
      <c r="F1694" s="431">
        <v>3.68</v>
      </c>
      <c r="G1694" s="431">
        <v>4.16</v>
      </c>
      <c r="H1694" s="431">
        <v>4.41</v>
      </c>
      <c r="I1694" s="431">
        <v>4.6100000000000003</v>
      </c>
      <c r="J1694" s="431">
        <v>4.74</v>
      </c>
      <c r="K1694" s="431">
        <v>4.3099999999999996</v>
      </c>
      <c r="L1694" s="431">
        <v>4.46</v>
      </c>
      <c r="M1694" s="431">
        <v>4.0999999999999996</v>
      </c>
      <c r="N1694" s="431">
        <v>4.08</v>
      </c>
      <c r="O1694" s="431">
        <v>3.66</v>
      </c>
      <c r="P1694" s="431">
        <v>2.96</v>
      </c>
      <c r="Q1694" s="179">
        <f t="shared" si="51"/>
        <v>4.0158333333333323</v>
      </c>
      <c r="R1694" s="179" t="s">
        <v>993</v>
      </c>
    </row>
    <row r="1695" spans="1:18" x14ac:dyDescent="0.15">
      <c r="A1695" s="179" t="str">
        <f t="shared" si="50"/>
        <v>Tampico_Optimal Year Round_112.5</v>
      </c>
      <c r="B1695" s="501" t="s">
        <v>1153</v>
      </c>
      <c r="C1695" s="429">
        <v>22</v>
      </c>
      <c r="D1695" s="429">
        <v>112.5</v>
      </c>
      <c r="E1695" s="431">
        <v>3.31</v>
      </c>
      <c r="F1695" s="431">
        <v>4.0199999999999996</v>
      </c>
      <c r="G1695" s="431">
        <v>4.55</v>
      </c>
      <c r="H1695" s="431">
        <v>4.82</v>
      </c>
      <c r="I1695" s="431">
        <v>5.04</v>
      </c>
      <c r="J1695" s="431">
        <v>5.19</v>
      </c>
      <c r="K1695" s="431">
        <v>4.72</v>
      </c>
      <c r="L1695" s="431">
        <v>4.88</v>
      </c>
      <c r="M1695" s="431">
        <v>4.49</v>
      </c>
      <c r="N1695" s="431">
        <v>4.46</v>
      </c>
      <c r="O1695" s="431">
        <v>4</v>
      </c>
      <c r="P1695" s="431">
        <v>3.24</v>
      </c>
      <c r="Q1695" s="179">
        <f t="shared" si="51"/>
        <v>4.3933333333333335</v>
      </c>
      <c r="R1695" s="179" t="s">
        <v>993</v>
      </c>
    </row>
    <row r="1696" spans="1:18" x14ac:dyDescent="0.15">
      <c r="A1696" s="179" t="str">
        <f t="shared" si="50"/>
        <v>Tampico_Optimal Year Round_135</v>
      </c>
      <c r="B1696" s="501" t="s">
        <v>1153</v>
      </c>
      <c r="C1696" s="429">
        <v>22</v>
      </c>
      <c r="D1696" s="429">
        <v>135</v>
      </c>
      <c r="E1696" s="431">
        <v>3.59</v>
      </c>
      <c r="F1696" s="431">
        <v>4.37</v>
      </c>
      <c r="G1696" s="431">
        <v>4.9400000000000004</v>
      </c>
      <c r="H1696" s="431">
        <v>5.23</v>
      </c>
      <c r="I1696" s="431">
        <v>5.47</v>
      </c>
      <c r="J1696" s="431">
        <v>5.63</v>
      </c>
      <c r="K1696" s="431">
        <v>5.12</v>
      </c>
      <c r="L1696" s="431">
        <v>5.3</v>
      </c>
      <c r="M1696" s="431">
        <v>4.87</v>
      </c>
      <c r="N1696" s="431">
        <v>4.84</v>
      </c>
      <c r="O1696" s="431">
        <v>4.34</v>
      </c>
      <c r="P1696" s="431">
        <v>3.52</v>
      </c>
      <c r="Q1696" s="179">
        <f t="shared" si="51"/>
        <v>4.7683333333333335</v>
      </c>
      <c r="R1696" s="179" t="s">
        <v>993</v>
      </c>
    </row>
    <row r="1697" spans="1:18" x14ac:dyDescent="0.15">
      <c r="A1697" s="179" t="str">
        <f t="shared" si="50"/>
        <v>Tampico_Optimal Year Round_157.5</v>
      </c>
      <c r="B1697" s="501" t="s">
        <v>1153</v>
      </c>
      <c r="C1697" s="429">
        <v>22</v>
      </c>
      <c r="D1697" s="429">
        <v>157.5</v>
      </c>
      <c r="E1697" s="431">
        <v>3.69</v>
      </c>
      <c r="F1697" s="431">
        <v>4.4800000000000004</v>
      </c>
      <c r="G1697" s="431">
        <v>5.07</v>
      </c>
      <c r="H1697" s="431">
        <v>5.37</v>
      </c>
      <c r="I1697" s="431">
        <v>5.62</v>
      </c>
      <c r="J1697" s="431">
        <v>5.78</v>
      </c>
      <c r="K1697" s="431">
        <v>5.26</v>
      </c>
      <c r="L1697" s="431">
        <v>5.44</v>
      </c>
      <c r="M1697" s="431">
        <v>5</v>
      </c>
      <c r="N1697" s="431">
        <v>4.97</v>
      </c>
      <c r="O1697" s="431">
        <v>4.46</v>
      </c>
      <c r="P1697" s="431">
        <v>3.61</v>
      </c>
      <c r="Q1697" s="179">
        <f t="shared" si="51"/>
        <v>4.895833333333333</v>
      </c>
      <c r="R1697" s="179" t="s">
        <v>993</v>
      </c>
    </row>
    <row r="1698" spans="1:18" x14ac:dyDescent="0.15">
      <c r="A1698" s="179" t="str">
        <f t="shared" si="50"/>
        <v>Tampico_Optimal Year Round_180</v>
      </c>
      <c r="B1698" s="501" t="s">
        <v>1153</v>
      </c>
      <c r="C1698" s="429">
        <v>22</v>
      </c>
      <c r="D1698" s="429">
        <v>180</v>
      </c>
      <c r="E1698" s="431">
        <v>3.78</v>
      </c>
      <c r="F1698" s="431">
        <v>4.5999999999999996</v>
      </c>
      <c r="G1698" s="431">
        <v>5.2</v>
      </c>
      <c r="H1698" s="431">
        <v>5.51</v>
      </c>
      <c r="I1698" s="431">
        <v>5.76</v>
      </c>
      <c r="J1698" s="431">
        <v>5.93</v>
      </c>
      <c r="K1698" s="431">
        <v>5.39</v>
      </c>
      <c r="L1698" s="431">
        <v>5.58</v>
      </c>
      <c r="M1698" s="431">
        <v>5.13</v>
      </c>
      <c r="N1698" s="431">
        <v>5.0999999999999996</v>
      </c>
      <c r="O1698" s="431">
        <v>4.57</v>
      </c>
      <c r="P1698" s="431">
        <v>3.7</v>
      </c>
      <c r="Q1698" s="179">
        <f t="shared" si="51"/>
        <v>5.020833333333333</v>
      </c>
      <c r="R1698" s="179" t="s">
        <v>993</v>
      </c>
    </row>
    <row r="1699" spans="1:18" x14ac:dyDescent="0.15">
      <c r="A1699" s="179" t="str">
        <f t="shared" si="50"/>
        <v>Tampico_Optimal Year Round_202.5</v>
      </c>
      <c r="B1699" s="501" t="s">
        <v>1153</v>
      </c>
      <c r="C1699" s="429">
        <v>22</v>
      </c>
      <c r="D1699" s="429">
        <v>202.5</v>
      </c>
      <c r="E1699" s="431">
        <v>3.69</v>
      </c>
      <c r="F1699" s="431">
        <v>4.4800000000000004</v>
      </c>
      <c r="G1699" s="431">
        <v>5.07</v>
      </c>
      <c r="H1699" s="431">
        <v>5.37</v>
      </c>
      <c r="I1699" s="431">
        <v>5.62</v>
      </c>
      <c r="J1699" s="431">
        <v>5.78</v>
      </c>
      <c r="K1699" s="431">
        <v>5.26</v>
      </c>
      <c r="L1699" s="431">
        <v>5.44</v>
      </c>
      <c r="M1699" s="431">
        <v>5</v>
      </c>
      <c r="N1699" s="431">
        <v>4.97</v>
      </c>
      <c r="O1699" s="431">
        <v>4.46</v>
      </c>
      <c r="P1699" s="431">
        <v>3.61</v>
      </c>
      <c r="Q1699" s="179">
        <f t="shared" si="51"/>
        <v>4.895833333333333</v>
      </c>
      <c r="R1699" s="179" t="s">
        <v>993</v>
      </c>
    </row>
    <row r="1700" spans="1:18" x14ac:dyDescent="0.15">
      <c r="A1700" s="179" t="str">
        <f t="shared" si="50"/>
        <v>Tampico_Optimal Year Round_225</v>
      </c>
      <c r="B1700" s="501" t="s">
        <v>1153</v>
      </c>
      <c r="C1700" s="429">
        <v>22</v>
      </c>
      <c r="D1700" s="429">
        <v>225</v>
      </c>
      <c r="E1700" s="429">
        <v>3.59</v>
      </c>
      <c r="F1700" s="429">
        <v>4.37</v>
      </c>
      <c r="G1700" s="429">
        <v>4.9400000000000004</v>
      </c>
      <c r="H1700" s="429">
        <v>5.23</v>
      </c>
      <c r="I1700" s="429">
        <v>5.47</v>
      </c>
      <c r="J1700" s="429">
        <v>5.63</v>
      </c>
      <c r="K1700" s="429">
        <v>5.12</v>
      </c>
      <c r="L1700" s="429">
        <v>5.3</v>
      </c>
      <c r="M1700" s="429">
        <v>4.87</v>
      </c>
      <c r="N1700" s="429">
        <v>4.84</v>
      </c>
      <c r="O1700" s="429">
        <v>4.34</v>
      </c>
      <c r="P1700" s="429">
        <v>3.52</v>
      </c>
      <c r="Q1700" s="179">
        <f t="shared" si="51"/>
        <v>4.7683333333333335</v>
      </c>
      <c r="R1700" s="179" t="s">
        <v>993</v>
      </c>
    </row>
    <row r="1701" spans="1:18" x14ac:dyDescent="0.15">
      <c r="A1701" s="179" t="str">
        <f t="shared" si="50"/>
        <v>Tampico_Optimal Year Round_247.5</v>
      </c>
      <c r="B1701" s="501" t="s">
        <v>1153</v>
      </c>
      <c r="C1701" s="429">
        <v>22</v>
      </c>
      <c r="D1701" s="429">
        <v>247.5</v>
      </c>
      <c r="E1701" s="429">
        <v>3.31</v>
      </c>
      <c r="F1701" s="429">
        <v>4.0199999999999996</v>
      </c>
      <c r="G1701" s="429">
        <v>4.55</v>
      </c>
      <c r="H1701" s="429">
        <v>4.82</v>
      </c>
      <c r="I1701" s="429">
        <v>5.04</v>
      </c>
      <c r="J1701" s="429">
        <v>5.19</v>
      </c>
      <c r="K1701" s="429">
        <v>4.72</v>
      </c>
      <c r="L1701" s="429">
        <v>4.88</v>
      </c>
      <c r="M1701" s="429">
        <v>4.49</v>
      </c>
      <c r="N1701" s="429">
        <v>4.46</v>
      </c>
      <c r="O1701" s="429">
        <v>4</v>
      </c>
      <c r="P1701" s="429">
        <v>3.24</v>
      </c>
      <c r="Q1701" s="179">
        <f t="shared" si="51"/>
        <v>4.3933333333333335</v>
      </c>
      <c r="R1701" s="179" t="s">
        <v>993</v>
      </c>
    </row>
    <row r="1702" spans="1:18" x14ac:dyDescent="0.15">
      <c r="A1702" s="179" t="str">
        <f t="shared" si="50"/>
        <v>Tampico_Optimal Year Round_270</v>
      </c>
      <c r="B1702" s="501" t="s">
        <v>1153</v>
      </c>
      <c r="C1702" s="429">
        <v>22</v>
      </c>
      <c r="D1702" s="429">
        <v>270</v>
      </c>
      <c r="E1702" s="429">
        <v>3.02</v>
      </c>
      <c r="F1702" s="429">
        <v>3.68</v>
      </c>
      <c r="G1702" s="429">
        <v>4.16</v>
      </c>
      <c r="H1702" s="429">
        <v>4.41</v>
      </c>
      <c r="I1702" s="429">
        <v>4.6100000000000003</v>
      </c>
      <c r="J1702" s="429">
        <v>4.74</v>
      </c>
      <c r="K1702" s="429">
        <v>4.3099999999999996</v>
      </c>
      <c r="L1702" s="429">
        <v>4.46</v>
      </c>
      <c r="M1702" s="429">
        <v>4.0999999999999996</v>
      </c>
      <c r="N1702" s="429">
        <v>4.08</v>
      </c>
      <c r="O1702" s="429">
        <v>3.66</v>
      </c>
      <c r="P1702" s="429">
        <v>2.96</v>
      </c>
      <c r="Q1702" s="179">
        <f t="shared" si="51"/>
        <v>4.0158333333333323</v>
      </c>
      <c r="R1702" s="179" t="s">
        <v>993</v>
      </c>
    </row>
    <row r="1703" spans="1:18" x14ac:dyDescent="0.15">
      <c r="A1703" s="179" t="str">
        <f t="shared" si="50"/>
        <v>Tehuacan_Flat Surface_90</v>
      </c>
      <c r="B1703" s="179" t="s">
        <v>1154</v>
      </c>
      <c r="C1703" s="179">
        <v>0</v>
      </c>
      <c r="D1703" s="179">
        <v>90</v>
      </c>
      <c r="E1703" s="179">
        <v>5.01</v>
      </c>
      <c r="F1703" s="179">
        <v>5.71</v>
      </c>
      <c r="G1703" s="179">
        <v>6.49</v>
      </c>
      <c r="H1703" s="179">
        <v>6.71</v>
      </c>
      <c r="I1703" s="179">
        <v>6.54</v>
      </c>
      <c r="J1703" s="179">
        <v>6.22</v>
      </c>
      <c r="K1703" s="179">
        <v>6.35</v>
      </c>
      <c r="L1703" s="179">
        <v>6.04</v>
      </c>
      <c r="M1703" s="179">
        <v>5.57</v>
      </c>
      <c r="N1703" s="179">
        <v>5.45</v>
      </c>
      <c r="O1703" s="179">
        <v>5.2</v>
      </c>
      <c r="P1703" s="179">
        <v>4.84</v>
      </c>
      <c r="Q1703" s="179">
        <f t="shared" si="51"/>
        <v>5.8441666666666672</v>
      </c>
      <c r="R1703" s="179" t="s">
        <v>994</v>
      </c>
    </row>
    <row r="1704" spans="1:18" x14ac:dyDescent="0.15">
      <c r="A1704" s="179" t="str">
        <f t="shared" si="50"/>
        <v>Tehuacan_Flat Surface_112.5</v>
      </c>
      <c r="B1704" s="179" t="s">
        <v>1154</v>
      </c>
      <c r="C1704" s="179">
        <v>0</v>
      </c>
      <c r="D1704" s="179">
        <v>112.5</v>
      </c>
      <c r="E1704" s="179">
        <v>5.01</v>
      </c>
      <c r="F1704" s="179">
        <v>5.71</v>
      </c>
      <c r="G1704" s="179">
        <v>6.49</v>
      </c>
      <c r="H1704" s="179">
        <v>6.71</v>
      </c>
      <c r="I1704" s="179">
        <v>6.54</v>
      </c>
      <c r="J1704" s="179">
        <v>6.22</v>
      </c>
      <c r="K1704" s="179">
        <v>6.35</v>
      </c>
      <c r="L1704" s="179">
        <v>6.04</v>
      </c>
      <c r="M1704" s="179">
        <v>5.57</v>
      </c>
      <c r="N1704" s="179">
        <v>5.45</v>
      </c>
      <c r="O1704" s="179">
        <v>5.2</v>
      </c>
      <c r="P1704" s="179">
        <v>4.84</v>
      </c>
      <c r="Q1704" s="179">
        <f t="shared" si="51"/>
        <v>5.8441666666666672</v>
      </c>
      <c r="R1704" s="179" t="s">
        <v>994</v>
      </c>
    </row>
    <row r="1705" spans="1:18" x14ac:dyDescent="0.15">
      <c r="A1705" s="179" t="str">
        <f t="shared" si="50"/>
        <v>Tehuacan_Flat Surface_135</v>
      </c>
      <c r="B1705" s="179" t="s">
        <v>1154</v>
      </c>
      <c r="C1705" s="179">
        <v>0</v>
      </c>
      <c r="D1705" s="179">
        <v>135</v>
      </c>
      <c r="E1705" s="179">
        <v>5.01</v>
      </c>
      <c r="F1705" s="179">
        <v>5.71</v>
      </c>
      <c r="G1705" s="179">
        <v>6.49</v>
      </c>
      <c r="H1705" s="179">
        <v>6.71</v>
      </c>
      <c r="I1705" s="179">
        <v>6.54</v>
      </c>
      <c r="J1705" s="179">
        <v>6.22</v>
      </c>
      <c r="K1705" s="179">
        <v>6.35</v>
      </c>
      <c r="L1705" s="179">
        <v>6.04</v>
      </c>
      <c r="M1705" s="179">
        <v>5.57</v>
      </c>
      <c r="N1705" s="179">
        <v>5.45</v>
      </c>
      <c r="O1705" s="179">
        <v>5.2</v>
      </c>
      <c r="P1705" s="179">
        <v>4.84</v>
      </c>
      <c r="Q1705" s="179">
        <f t="shared" si="51"/>
        <v>5.8441666666666672</v>
      </c>
      <c r="R1705" s="179" t="s">
        <v>994</v>
      </c>
    </row>
    <row r="1706" spans="1:18" x14ac:dyDescent="0.15">
      <c r="A1706" s="179" t="str">
        <f t="shared" si="50"/>
        <v>Tehuacan_Flat Surface_157.5</v>
      </c>
      <c r="B1706" s="179" t="s">
        <v>1154</v>
      </c>
      <c r="C1706" s="179">
        <v>0</v>
      </c>
      <c r="D1706" s="179">
        <v>157.5</v>
      </c>
      <c r="E1706" s="179">
        <v>5.01</v>
      </c>
      <c r="F1706" s="179">
        <v>5.71</v>
      </c>
      <c r="G1706" s="179">
        <v>6.49</v>
      </c>
      <c r="H1706" s="179">
        <v>6.71</v>
      </c>
      <c r="I1706" s="179">
        <v>6.54</v>
      </c>
      <c r="J1706" s="179">
        <v>6.22</v>
      </c>
      <c r="K1706" s="179">
        <v>6.35</v>
      </c>
      <c r="L1706" s="179">
        <v>6.04</v>
      </c>
      <c r="M1706" s="179">
        <v>5.57</v>
      </c>
      <c r="N1706" s="179">
        <v>5.45</v>
      </c>
      <c r="O1706" s="179">
        <v>5.2</v>
      </c>
      <c r="P1706" s="179">
        <v>4.84</v>
      </c>
      <c r="Q1706" s="179">
        <f t="shared" si="51"/>
        <v>5.8441666666666672</v>
      </c>
      <c r="R1706" s="179" t="s">
        <v>994</v>
      </c>
    </row>
    <row r="1707" spans="1:18" x14ac:dyDescent="0.15">
      <c r="A1707" s="179" t="str">
        <f t="shared" si="50"/>
        <v>Tehuacan_Flat Surface_180</v>
      </c>
      <c r="B1707" s="179" t="s">
        <v>1154</v>
      </c>
      <c r="C1707" s="179">
        <v>0</v>
      </c>
      <c r="D1707" s="179">
        <v>180</v>
      </c>
      <c r="E1707" s="179">
        <v>5.01</v>
      </c>
      <c r="F1707" s="179">
        <v>5.71</v>
      </c>
      <c r="G1707" s="179">
        <v>6.49</v>
      </c>
      <c r="H1707" s="179">
        <v>6.71</v>
      </c>
      <c r="I1707" s="179">
        <v>6.54</v>
      </c>
      <c r="J1707" s="179">
        <v>6.22</v>
      </c>
      <c r="K1707" s="179">
        <v>6.35</v>
      </c>
      <c r="L1707" s="179">
        <v>6.04</v>
      </c>
      <c r="M1707" s="179">
        <v>5.57</v>
      </c>
      <c r="N1707" s="179">
        <v>5.45</v>
      </c>
      <c r="O1707" s="179">
        <v>5.2</v>
      </c>
      <c r="P1707" s="179">
        <v>4.84</v>
      </c>
      <c r="Q1707" s="179">
        <f t="shared" si="51"/>
        <v>5.8441666666666672</v>
      </c>
      <c r="R1707" s="179" t="s">
        <v>994</v>
      </c>
    </row>
    <row r="1708" spans="1:18" x14ac:dyDescent="0.15">
      <c r="A1708" s="179" t="str">
        <f t="shared" si="50"/>
        <v>Tehuacan_Flat Surface_202.5</v>
      </c>
      <c r="B1708" s="179" t="s">
        <v>1154</v>
      </c>
      <c r="C1708" s="179">
        <v>0</v>
      </c>
      <c r="D1708" s="179">
        <v>202.5</v>
      </c>
      <c r="E1708" s="179">
        <v>5.01</v>
      </c>
      <c r="F1708" s="179">
        <v>5.71</v>
      </c>
      <c r="G1708" s="179">
        <v>6.49</v>
      </c>
      <c r="H1708" s="179">
        <v>6.71</v>
      </c>
      <c r="I1708" s="179">
        <v>6.54</v>
      </c>
      <c r="J1708" s="179">
        <v>6.22</v>
      </c>
      <c r="K1708" s="179">
        <v>6.35</v>
      </c>
      <c r="L1708" s="179">
        <v>6.04</v>
      </c>
      <c r="M1708" s="179">
        <v>5.57</v>
      </c>
      <c r="N1708" s="179">
        <v>5.45</v>
      </c>
      <c r="O1708" s="179">
        <v>5.2</v>
      </c>
      <c r="P1708" s="179">
        <v>4.84</v>
      </c>
      <c r="Q1708" s="179">
        <f t="shared" si="51"/>
        <v>5.8441666666666672</v>
      </c>
      <c r="R1708" s="179" t="s">
        <v>994</v>
      </c>
    </row>
    <row r="1709" spans="1:18" x14ac:dyDescent="0.15">
      <c r="A1709" s="179" t="str">
        <f t="shared" si="50"/>
        <v>Tehuacan_Flat Surface_225</v>
      </c>
      <c r="B1709" s="179" t="s">
        <v>1154</v>
      </c>
      <c r="C1709" s="179">
        <v>0</v>
      </c>
      <c r="D1709" s="179">
        <v>225</v>
      </c>
      <c r="E1709" s="179">
        <v>5.01</v>
      </c>
      <c r="F1709" s="179">
        <v>5.71</v>
      </c>
      <c r="G1709" s="179">
        <v>6.49</v>
      </c>
      <c r="H1709" s="179">
        <v>6.71</v>
      </c>
      <c r="I1709" s="179">
        <v>6.54</v>
      </c>
      <c r="J1709" s="179">
        <v>6.22</v>
      </c>
      <c r="K1709" s="179">
        <v>6.35</v>
      </c>
      <c r="L1709" s="179">
        <v>6.04</v>
      </c>
      <c r="M1709" s="179">
        <v>5.57</v>
      </c>
      <c r="N1709" s="179">
        <v>5.45</v>
      </c>
      <c r="O1709" s="179">
        <v>5.2</v>
      </c>
      <c r="P1709" s="179">
        <v>4.84</v>
      </c>
      <c r="Q1709" s="179">
        <f t="shared" si="51"/>
        <v>5.8441666666666672</v>
      </c>
      <c r="R1709" s="179" t="s">
        <v>994</v>
      </c>
    </row>
    <row r="1710" spans="1:18" x14ac:dyDescent="0.15">
      <c r="A1710" s="179" t="str">
        <f t="shared" si="50"/>
        <v>Tehuacan_Flat Surface_247.5</v>
      </c>
      <c r="B1710" s="179" t="s">
        <v>1154</v>
      </c>
      <c r="C1710" s="179">
        <v>0</v>
      </c>
      <c r="D1710" s="179">
        <v>247.5</v>
      </c>
      <c r="E1710" s="179">
        <v>5.01</v>
      </c>
      <c r="F1710" s="179">
        <v>5.71</v>
      </c>
      <c r="G1710" s="179">
        <v>6.49</v>
      </c>
      <c r="H1710" s="179">
        <v>6.71</v>
      </c>
      <c r="I1710" s="179">
        <v>6.54</v>
      </c>
      <c r="J1710" s="179">
        <v>6.22</v>
      </c>
      <c r="K1710" s="179">
        <v>6.35</v>
      </c>
      <c r="L1710" s="179">
        <v>6.04</v>
      </c>
      <c r="M1710" s="179">
        <v>5.57</v>
      </c>
      <c r="N1710" s="179">
        <v>5.45</v>
      </c>
      <c r="O1710" s="179">
        <v>5.2</v>
      </c>
      <c r="P1710" s="179">
        <v>4.84</v>
      </c>
      <c r="Q1710" s="179">
        <f t="shared" si="51"/>
        <v>5.8441666666666672</v>
      </c>
      <c r="R1710" s="179" t="s">
        <v>994</v>
      </c>
    </row>
    <row r="1711" spans="1:18" x14ac:dyDescent="0.15">
      <c r="A1711" s="179" t="str">
        <f t="shared" si="50"/>
        <v>Tehuacan_Flat Surface_270</v>
      </c>
      <c r="B1711" s="179" t="s">
        <v>1154</v>
      </c>
      <c r="C1711" s="179">
        <v>0</v>
      </c>
      <c r="D1711" s="179">
        <v>270</v>
      </c>
      <c r="E1711" s="179">
        <v>5.01</v>
      </c>
      <c r="F1711" s="179">
        <v>5.71</v>
      </c>
      <c r="G1711" s="179">
        <v>6.49</v>
      </c>
      <c r="H1711" s="179">
        <v>6.71</v>
      </c>
      <c r="I1711" s="179">
        <v>6.54</v>
      </c>
      <c r="J1711" s="179">
        <v>6.22</v>
      </c>
      <c r="K1711" s="179">
        <v>6.35</v>
      </c>
      <c r="L1711" s="179">
        <v>6.04</v>
      </c>
      <c r="M1711" s="179">
        <v>5.57</v>
      </c>
      <c r="N1711" s="179">
        <v>5.45</v>
      </c>
      <c r="O1711" s="179">
        <v>5.2</v>
      </c>
      <c r="P1711" s="179">
        <v>4.84</v>
      </c>
      <c r="Q1711" s="179">
        <f t="shared" si="51"/>
        <v>5.8441666666666672</v>
      </c>
      <c r="R1711" s="179" t="s">
        <v>994</v>
      </c>
    </row>
    <row r="1712" spans="1:18" x14ac:dyDescent="0.15">
      <c r="A1712" s="179" t="str">
        <f t="shared" si="50"/>
        <v>Tehuacan_Optimal Summer_90</v>
      </c>
      <c r="B1712" s="179" t="s">
        <v>1154</v>
      </c>
      <c r="C1712" s="179">
        <v>3</v>
      </c>
      <c r="D1712" s="179">
        <v>90</v>
      </c>
      <c r="E1712" s="179">
        <v>4.18</v>
      </c>
      <c r="F1712" s="179">
        <v>4.7</v>
      </c>
      <c r="G1712" s="179">
        <v>5.27</v>
      </c>
      <c r="H1712" s="179">
        <v>5.38</v>
      </c>
      <c r="I1712" s="179">
        <v>5.25</v>
      </c>
      <c r="J1712" s="179">
        <v>5.01</v>
      </c>
      <c r="K1712" s="179">
        <v>5.0999999999999996</v>
      </c>
      <c r="L1712" s="179">
        <v>4.82</v>
      </c>
      <c r="M1712" s="179">
        <v>4.5</v>
      </c>
      <c r="N1712" s="179">
        <v>4.46</v>
      </c>
      <c r="O1712" s="179">
        <v>4.3099999999999996</v>
      </c>
      <c r="P1712" s="179">
        <v>4.05</v>
      </c>
      <c r="Q1712" s="179">
        <f t="shared" si="51"/>
        <v>4.7525000000000004</v>
      </c>
      <c r="R1712" s="179" t="s">
        <v>958</v>
      </c>
    </row>
    <row r="1713" spans="1:18" x14ac:dyDescent="0.15">
      <c r="A1713" s="179" t="str">
        <f t="shared" si="50"/>
        <v>Tehuacan_Optimal Summer_112.5</v>
      </c>
      <c r="B1713" s="179" t="s">
        <v>1154</v>
      </c>
      <c r="C1713" s="179">
        <v>3</v>
      </c>
      <c r="D1713" s="179">
        <v>112.5</v>
      </c>
      <c r="E1713" s="179">
        <v>4.57</v>
      </c>
      <c r="F1713" s="179">
        <v>5.14</v>
      </c>
      <c r="G1713" s="179">
        <v>5.77</v>
      </c>
      <c r="H1713" s="179">
        <v>5.89</v>
      </c>
      <c r="I1713" s="179">
        <v>5.74</v>
      </c>
      <c r="J1713" s="179">
        <v>5.48</v>
      </c>
      <c r="K1713" s="179">
        <v>5.58</v>
      </c>
      <c r="L1713" s="179">
        <v>5.28</v>
      </c>
      <c r="M1713" s="179">
        <v>4.92</v>
      </c>
      <c r="N1713" s="179">
        <v>4.87</v>
      </c>
      <c r="O1713" s="179">
        <v>4.72</v>
      </c>
      <c r="P1713" s="179">
        <v>4.43</v>
      </c>
      <c r="Q1713" s="179">
        <f t="shared" si="51"/>
        <v>5.1991666666666667</v>
      </c>
      <c r="R1713" s="179" t="s">
        <v>958</v>
      </c>
    </row>
    <row r="1714" spans="1:18" x14ac:dyDescent="0.15">
      <c r="A1714" s="179" t="str">
        <f t="shared" si="50"/>
        <v>Tehuacan_Optimal Summer_135</v>
      </c>
      <c r="B1714" s="179" t="s">
        <v>1154</v>
      </c>
      <c r="C1714" s="179">
        <v>3</v>
      </c>
      <c r="D1714" s="179">
        <v>135</v>
      </c>
      <c r="E1714" s="179">
        <v>4.96</v>
      </c>
      <c r="F1714" s="179">
        <v>5.58</v>
      </c>
      <c r="G1714" s="179">
        <v>6.26</v>
      </c>
      <c r="H1714" s="179">
        <v>6.39</v>
      </c>
      <c r="I1714" s="179">
        <v>6.23</v>
      </c>
      <c r="J1714" s="179">
        <v>5.95</v>
      </c>
      <c r="K1714" s="179">
        <v>6.06</v>
      </c>
      <c r="L1714" s="179">
        <v>5.73</v>
      </c>
      <c r="M1714" s="179">
        <v>5.34</v>
      </c>
      <c r="N1714" s="179">
        <v>5.29</v>
      </c>
      <c r="O1714" s="179">
        <v>5.12</v>
      </c>
      <c r="P1714" s="179">
        <v>4.8099999999999996</v>
      </c>
      <c r="Q1714" s="179">
        <f t="shared" si="51"/>
        <v>5.6433333333333335</v>
      </c>
      <c r="R1714" s="179" t="s">
        <v>958</v>
      </c>
    </row>
    <row r="1715" spans="1:18" x14ac:dyDescent="0.15">
      <c r="A1715" s="179" t="str">
        <f t="shared" si="50"/>
        <v>Tehuacan_Optimal Summer_157.5</v>
      </c>
      <c r="B1715" s="179" t="s">
        <v>1154</v>
      </c>
      <c r="C1715" s="179">
        <v>3</v>
      </c>
      <c r="D1715" s="179">
        <v>157.5</v>
      </c>
      <c r="E1715" s="179">
        <v>5.09</v>
      </c>
      <c r="F1715" s="179">
        <v>5.72</v>
      </c>
      <c r="G1715" s="179">
        <v>6.43</v>
      </c>
      <c r="H1715" s="179">
        <v>6.56</v>
      </c>
      <c r="I1715" s="179">
        <v>6.4</v>
      </c>
      <c r="J1715" s="179">
        <v>6.1</v>
      </c>
      <c r="K1715" s="179">
        <v>6.22</v>
      </c>
      <c r="L1715" s="179">
        <v>5.88</v>
      </c>
      <c r="M1715" s="179">
        <v>5.48</v>
      </c>
      <c r="N1715" s="179">
        <v>5.43</v>
      </c>
      <c r="O1715" s="179">
        <v>5.26</v>
      </c>
      <c r="P1715" s="179">
        <v>4.93</v>
      </c>
      <c r="Q1715" s="179">
        <f t="shared" si="51"/>
        <v>5.791666666666667</v>
      </c>
      <c r="R1715" s="179" t="s">
        <v>958</v>
      </c>
    </row>
    <row r="1716" spans="1:18" x14ac:dyDescent="0.15">
      <c r="A1716" s="179" t="str">
        <f t="shared" si="50"/>
        <v>Tehuacan_Optimal Summer_180</v>
      </c>
      <c r="B1716" s="179" t="s">
        <v>1154</v>
      </c>
      <c r="C1716" s="179">
        <v>3</v>
      </c>
      <c r="D1716" s="179">
        <v>180</v>
      </c>
      <c r="E1716" s="179">
        <v>5.22</v>
      </c>
      <c r="F1716" s="179">
        <v>5.87</v>
      </c>
      <c r="G1716" s="179">
        <v>6.59</v>
      </c>
      <c r="H1716" s="179">
        <v>6.73</v>
      </c>
      <c r="I1716" s="179">
        <v>6.56</v>
      </c>
      <c r="J1716" s="179">
        <v>6.26</v>
      </c>
      <c r="K1716" s="179">
        <v>6.38</v>
      </c>
      <c r="L1716" s="179">
        <v>6.03</v>
      </c>
      <c r="M1716" s="179">
        <v>5.62</v>
      </c>
      <c r="N1716" s="179">
        <v>5.57</v>
      </c>
      <c r="O1716" s="179">
        <v>5.39</v>
      </c>
      <c r="P1716" s="179">
        <v>5.0599999999999996</v>
      </c>
      <c r="Q1716" s="179">
        <f t="shared" si="51"/>
        <v>5.94</v>
      </c>
      <c r="R1716" s="179" t="s">
        <v>958</v>
      </c>
    </row>
    <row r="1717" spans="1:18" x14ac:dyDescent="0.15">
      <c r="A1717" s="179" t="str">
        <f t="shared" si="50"/>
        <v>Tehuacan_Optimal Summer_202.5</v>
      </c>
      <c r="B1717" s="179" t="s">
        <v>1154</v>
      </c>
      <c r="C1717" s="179">
        <v>3</v>
      </c>
      <c r="D1717" s="179">
        <v>202.5</v>
      </c>
      <c r="E1717" s="179">
        <v>5.09</v>
      </c>
      <c r="F1717" s="179">
        <v>5.72</v>
      </c>
      <c r="G1717" s="179">
        <v>6.43</v>
      </c>
      <c r="H1717" s="179">
        <v>6.56</v>
      </c>
      <c r="I1717" s="179">
        <v>6.4</v>
      </c>
      <c r="J1717" s="179">
        <v>6.1</v>
      </c>
      <c r="K1717" s="179">
        <v>6.22</v>
      </c>
      <c r="L1717" s="179">
        <v>5.88</v>
      </c>
      <c r="M1717" s="179">
        <v>5.48</v>
      </c>
      <c r="N1717" s="179">
        <v>5.43</v>
      </c>
      <c r="O1717" s="179">
        <v>5.26</v>
      </c>
      <c r="P1717" s="179">
        <v>4.93</v>
      </c>
      <c r="Q1717" s="179">
        <f t="shared" si="51"/>
        <v>5.791666666666667</v>
      </c>
      <c r="R1717" s="179" t="s">
        <v>958</v>
      </c>
    </row>
    <row r="1718" spans="1:18" x14ac:dyDescent="0.15">
      <c r="A1718" s="179" t="str">
        <f t="shared" si="50"/>
        <v>Tehuacan_Optimal Summer_225</v>
      </c>
      <c r="B1718" s="179" t="s">
        <v>1154</v>
      </c>
      <c r="C1718" s="179">
        <v>3</v>
      </c>
      <c r="D1718" s="179">
        <v>225</v>
      </c>
      <c r="E1718" s="179">
        <v>4.96</v>
      </c>
      <c r="F1718" s="179">
        <v>5.58</v>
      </c>
      <c r="G1718" s="179">
        <v>6.26</v>
      </c>
      <c r="H1718" s="179">
        <v>6.39</v>
      </c>
      <c r="I1718" s="179">
        <v>6.23</v>
      </c>
      <c r="J1718" s="179">
        <v>5.95</v>
      </c>
      <c r="K1718" s="179">
        <v>6.06</v>
      </c>
      <c r="L1718" s="179">
        <v>5.73</v>
      </c>
      <c r="M1718" s="179">
        <v>5.34</v>
      </c>
      <c r="N1718" s="179">
        <v>5.29</v>
      </c>
      <c r="O1718" s="179">
        <v>5.12</v>
      </c>
      <c r="P1718" s="179">
        <v>4.8099999999999996</v>
      </c>
      <c r="Q1718" s="179">
        <f t="shared" si="51"/>
        <v>5.6433333333333335</v>
      </c>
      <c r="R1718" s="179" t="s">
        <v>958</v>
      </c>
    </row>
    <row r="1719" spans="1:18" x14ac:dyDescent="0.15">
      <c r="A1719" s="179" t="str">
        <f t="shared" si="50"/>
        <v>Tehuacan_Optimal Summer_247.5</v>
      </c>
      <c r="B1719" s="179" t="s">
        <v>1154</v>
      </c>
      <c r="C1719" s="179">
        <v>3</v>
      </c>
      <c r="D1719" s="179">
        <v>247.5</v>
      </c>
      <c r="E1719" s="179">
        <v>4.57</v>
      </c>
      <c r="F1719" s="179">
        <v>5.14</v>
      </c>
      <c r="G1719" s="179">
        <v>5.77</v>
      </c>
      <c r="H1719" s="179">
        <v>5.89</v>
      </c>
      <c r="I1719" s="179">
        <v>5.74</v>
      </c>
      <c r="J1719" s="179">
        <v>5.48</v>
      </c>
      <c r="K1719" s="179">
        <v>5.58</v>
      </c>
      <c r="L1719" s="179">
        <v>5.28</v>
      </c>
      <c r="M1719" s="179">
        <v>4.92</v>
      </c>
      <c r="N1719" s="179">
        <v>4.87</v>
      </c>
      <c r="O1719" s="179">
        <v>4.72</v>
      </c>
      <c r="P1719" s="179">
        <v>4.43</v>
      </c>
      <c r="Q1719" s="179">
        <f t="shared" si="51"/>
        <v>5.1991666666666667</v>
      </c>
      <c r="R1719" s="179" t="s">
        <v>958</v>
      </c>
    </row>
    <row r="1720" spans="1:18" x14ac:dyDescent="0.15">
      <c r="A1720" s="179" t="str">
        <f t="shared" si="50"/>
        <v>Tehuacan_Optimal Summer_270</v>
      </c>
      <c r="B1720" s="179" t="s">
        <v>1154</v>
      </c>
      <c r="C1720" s="179">
        <v>3</v>
      </c>
      <c r="D1720" s="179">
        <v>270</v>
      </c>
      <c r="E1720" s="179">
        <v>4.18</v>
      </c>
      <c r="F1720" s="179">
        <v>4.7</v>
      </c>
      <c r="G1720" s="179">
        <v>5.27</v>
      </c>
      <c r="H1720" s="179">
        <v>5.38</v>
      </c>
      <c r="I1720" s="179">
        <v>5.25</v>
      </c>
      <c r="J1720" s="179">
        <v>5.01</v>
      </c>
      <c r="K1720" s="179">
        <v>5.0999999999999996</v>
      </c>
      <c r="L1720" s="179">
        <v>4.82</v>
      </c>
      <c r="M1720" s="179">
        <v>4.5</v>
      </c>
      <c r="N1720" s="179">
        <v>4.46</v>
      </c>
      <c r="O1720" s="179">
        <v>4.3099999999999996</v>
      </c>
      <c r="P1720" s="179">
        <v>4.05</v>
      </c>
      <c r="Q1720" s="179">
        <f t="shared" si="51"/>
        <v>4.7525000000000004</v>
      </c>
      <c r="R1720" s="179" t="s">
        <v>958</v>
      </c>
    </row>
    <row r="1721" spans="1:18" x14ac:dyDescent="0.15">
      <c r="A1721" s="179" t="str">
        <f t="shared" si="50"/>
        <v>Tehuacan_Optimal Year Round_90</v>
      </c>
      <c r="B1721" s="179" t="s">
        <v>1154</v>
      </c>
      <c r="C1721" s="179">
        <v>18</v>
      </c>
      <c r="D1721" s="179">
        <v>90</v>
      </c>
      <c r="E1721" s="179">
        <v>4.84</v>
      </c>
      <c r="F1721" s="179">
        <v>5.18</v>
      </c>
      <c r="G1721" s="179">
        <v>5.49</v>
      </c>
      <c r="H1721" s="179">
        <v>5.29</v>
      </c>
      <c r="I1721" s="179">
        <v>5.17</v>
      </c>
      <c r="J1721" s="179">
        <v>5.03</v>
      </c>
      <c r="K1721" s="179">
        <v>5.0999999999999996</v>
      </c>
      <c r="L1721" s="179">
        <v>4.66</v>
      </c>
      <c r="M1721" s="179">
        <v>4.54</v>
      </c>
      <c r="N1721" s="179">
        <v>4.78</v>
      </c>
      <c r="O1721" s="179">
        <v>4.9400000000000004</v>
      </c>
      <c r="P1721" s="179">
        <v>4.78</v>
      </c>
      <c r="Q1721" s="179">
        <f t="shared" si="51"/>
        <v>4.9833333333333334</v>
      </c>
      <c r="R1721" s="179" t="s">
        <v>993</v>
      </c>
    </row>
    <row r="1722" spans="1:18" x14ac:dyDescent="0.15">
      <c r="A1722" s="179" t="str">
        <f t="shared" si="50"/>
        <v>Tehuacan_Optimal Year Round_112.5</v>
      </c>
      <c r="B1722" s="179" t="s">
        <v>1154</v>
      </c>
      <c r="C1722" s="179">
        <v>18</v>
      </c>
      <c r="D1722" s="179">
        <v>112.5</v>
      </c>
      <c r="E1722" s="179">
        <v>5.29</v>
      </c>
      <c r="F1722" s="179">
        <v>5.66</v>
      </c>
      <c r="G1722" s="179">
        <v>6</v>
      </c>
      <c r="H1722" s="179">
        <v>5.78</v>
      </c>
      <c r="I1722" s="179">
        <v>5.65</v>
      </c>
      <c r="J1722" s="179">
        <v>5.5</v>
      </c>
      <c r="K1722" s="179">
        <v>5.58</v>
      </c>
      <c r="L1722" s="179">
        <v>5.0999999999999996</v>
      </c>
      <c r="M1722" s="179">
        <v>4.97</v>
      </c>
      <c r="N1722" s="179">
        <v>5.22</v>
      </c>
      <c r="O1722" s="179">
        <v>5.41</v>
      </c>
      <c r="P1722" s="179">
        <v>5.23</v>
      </c>
      <c r="Q1722" s="179">
        <f t="shared" si="51"/>
        <v>5.4491666666666667</v>
      </c>
      <c r="R1722" s="179" t="s">
        <v>993</v>
      </c>
    </row>
    <row r="1723" spans="1:18" x14ac:dyDescent="0.15">
      <c r="A1723" s="179" t="str">
        <f t="shared" si="50"/>
        <v>Tehuacan_Optimal Year Round_135</v>
      </c>
      <c r="B1723" s="179" t="s">
        <v>1154</v>
      </c>
      <c r="C1723" s="179">
        <v>18</v>
      </c>
      <c r="D1723" s="179">
        <v>135</v>
      </c>
      <c r="E1723" s="179">
        <v>5.75</v>
      </c>
      <c r="F1723" s="179">
        <v>6.15</v>
      </c>
      <c r="G1723" s="179">
        <v>6.52</v>
      </c>
      <c r="H1723" s="179">
        <v>6.28</v>
      </c>
      <c r="I1723" s="179">
        <v>6.14</v>
      </c>
      <c r="J1723" s="179">
        <v>5.98</v>
      </c>
      <c r="K1723" s="179">
        <v>6.06</v>
      </c>
      <c r="L1723" s="179">
        <v>5.54</v>
      </c>
      <c r="M1723" s="179">
        <v>5.4</v>
      </c>
      <c r="N1723" s="179">
        <v>5.67</v>
      </c>
      <c r="O1723" s="179">
        <v>5.87</v>
      </c>
      <c r="P1723" s="179">
        <v>5.68</v>
      </c>
      <c r="Q1723" s="179">
        <f t="shared" si="51"/>
        <v>5.9200000000000017</v>
      </c>
      <c r="R1723" s="179" t="s">
        <v>993</v>
      </c>
    </row>
    <row r="1724" spans="1:18" x14ac:dyDescent="0.15">
      <c r="A1724" s="179" t="str">
        <f t="shared" si="50"/>
        <v>Tehuacan_Optimal Year Round_157.5</v>
      </c>
      <c r="B1724" s="179" t="s">
        <v>1154</v>
      </c>
      <c r="C1724" s="179">
        <v>18</v>
      </c>
      <c r="D1724" s="179">
        <v>157.5</v>
      </c>
      <c r="E1724" s="179">
        <v>5.9</v>
      </c>
      <c r="F1724" s="179">
        <v>6.31</v>
      </c>
      <c r="G1724" s="179">
        <v>6.69</v>
      </c>
      <c r="H1724" s="179">
        <v>6.44</v>
      </c>
      <c r="I1724" s="179">
        <v>6.3</v>
      </c>
      <c r="J1724" s="179">
        <v>6.13</v>
      </c>
      <c r="K1724" s="179">
        <v>6.22</v>
      </c>
      <c r="L1724" s="179">
        <v>5.68</v>
      </c>
      <c r="M1724" s="179">
        <v>5.54</v>
      </c>
      <c r="N1724" s="179">
        <v>5.82</v>
      </c>
      <c r="O1724" s="179">
        <v>6.03</v>
      </c>
      <c r="P1724" s="179">
        <v>5.83</v>
      </c>
      <c r="Q1724" s="179">
        <f t="shared" si="51"/>
        <v>6.0741666666666667</v>
      </c>
      <c r="R1724" s="179" t="s">
        <v>993</v>
      </c>
    </row>
    <row r="1725" spans="1:18" x14ac:dyDescent="0.15">
      <c r="A1725" s="179" t="str">
        <f t="shared" si="50"/>
        <v>Tehuacan_Optimal Year Round_180</v>
      </c>
      <c r="B1725" s="179" t="s">
        <v>1154</v>
      </c>
      <c r="C1725" s="179">
        <v>18</v>
      </c>
      <c r="D1725" s="179">
        <v>180</v>
      </c>
      <c r="E1725" s="179">
        <v>6.05</v>
      </c>
      <c r="F1725" s="179">
        <v>6.47</v>
      </c>
      <c r="G1725" s="179">
        <v>6.86</v>
      </c>
      <c r="H1725" s="179">
        <v>6.61</v>
      </c>
      <c r="I1725" s="179">
        <v>6.46</v>
      </c>
      <c r="J1725" s="179">
        <v>6.29</v>
      </c>
      <c r="K1725" s="179">
        <v>6.38</v>
      </c>
      <c r="L1725" s="179">
        <v>5.83</v>
      </c>
      <c r="M1725" s="179">
        <v>5.68</v>
      </c>
      <c r="N1725" s="179">
        <v>5.97</v>
      </c>
      <c r="O1725" s="179">
        <v>6.18</v>
      </c>
      <c r="P1725" s="179">
        <v>5.98</v>
      </c>
      <c r="Q1725" s="179">
        <f t="shared" si="51"/>
        <v>6.23</v>
      </c>
      <c r="R1725" s="179" t="s">
        <v>993</v>
      </c>
    </row>
    <row r="1726" spans="1:18" x14ac:dyDescent="0.15">
      <c r="A1726" s="179" t="str">
        <f t="shared" si="50"/>
        <v>Tehuacan_Optimal Year Round_202.5</v>
      </c>
      <c r="B1726" s="179" t="s">
        <v>1154</v>
      </c>
      <c r="C1726" s="179">
        <v>18</v>
      </c>
      <c r="D1726" s="179">
        <v>202.5</v>
      </c>
      <c r="E1726" s="179">
        <v>5.9</v>
      </c>
      <c r="F1726" s="179">
        <v>6.31</v>
      </c>
      <c r="G1726" s="179">
        <v>6.69</v>
      </c>
      <c r="H1726" s="179">
        <v>6.44</v>
      </c>
      <c r="I1726" s="179">
        <v>6.3</v>
      </c>
      <c r="J1726" s="179">
        <v>6.13</v>
      </c>
      <c r="K1726" s="179">
        <v>6.22</v>
      </c>
      <c r="L1726" s="179">
        <v>5.68</v>
      </c>
      <c r="M1726" s="179">
        <v>5.54</v>
      </c>
      <c r="N1726" s="179">
        <v>5.82</v>
      </c>
      <c r="O1726" s="179">
        <v>6.03</v>
      </c>
      <c r="P1726" s="179">
        <v>5.83</v>
      </c>
      <c r="Q1726" s="179">
        <f t="shared" si="51"/>
        <v>6.0741666666666667</v>
      </c>
      <c r="R1726" s="179" t="s">
        <v>993</v>
      </c>
    </row>
    <row r="1727" spans="1:18" x14ac:dyDescent="0.15">
      <c r="A1727" s="179" t="str">
        <f t="shared" si="50"/>
        <v>Tehuacan_Optimal Year Round_225</v>
      </c>
      <c r="B1727" s="179" t="s">
        <v>1154</v>
      </c>
      <c r="C1727" s="179">
        <v>18</v>
      </c>
      <c r="D1727" s="179">
        <v>225</v>
      </c>
      <c r="E1727" s="179">
        <v>5.75</v>
      </c>
      <c r="F1727" s="179">
        <v>6.15</v>
      </c>
      <c r="G1727" s="179">
        <v>6.52</v>
      </c>
      <c r="H1727" s="179">
        <v>6.28</v>
      </c>
      <c r="I1727" s="179">
        <v>6.14</v>
      </c>
      <c r="J1727" s="179">
        <v>5.98</v>
      </c>
      <c r="K1727" s="179">
        <v>6.06</v>
      </c>
      <c r="L1727" s="179">
        <v>5.54</v>
      </c>
      <c r="M1727" s="179">
        <v>5.4</v>
      </c>
      <c r="N1727" s="179">
        <v>5.67</v>
      </c>
      <c r="O1727" s="179">
        <v>5.87</v>
      </c>
      <c r="P1727" s="179">
        <v>5.68</v>
      </c>
      <c r="Q1727" s="179">
        <f t="shared" si="51"/>
        <v>5.9200000000000017</v>
      </c>
      <c r="R1727" s="179" t="s">
        <v>993</v>
      </c>
    </row>
    <row r="1728" spans="1:18" x14ac:dyDescent="0.15">
      <c r="A1728" s="179" t="str">
        <f t="shared" si="50"/>
        <v>Tehuacan_Optimal Year Round_247.5</v>
      </c>
      <c r="B1728" s="179" t="s">
        <v>1154</v>
      </c>
      <c r="C1728" s="179">
        <v>18</v>
      </c>
      <c r="D1728" s="179">
        <v>247.5</v>
      </c>
      <c r="E1728" s="179">
        <v>5.29</v>
      </c>
      <c r="F1728" s="179">
        <v>5.66</v>
      </c>
      <c r="G1728" s="179">
        <v>6</v>
      </c>
      <c r="H1728" s="179">
        <v>5.78</v>
      </c>
      <c r="I1728" s="179">
        <v>5.65</v>
      </c>
      <c r="J1728" s="179">
        <v>5.5</v>
      </c>
      <c r="K1728" s="179">
        <v>5.58</v>
      </c>
      <c r="L1728" s="179">
        <v>5.0999999999999996</v>
      </c>
      <c r="M1728" s="179">
        <v>4.97</v>
      </c>
      <c r="N1728" s="179">
        <v>5.22</v>
      </c>
      <c r="O1728" s="179">
        <v>5.41</v>
      </c>
      <c r="P1728" s="179">
        <v>5.23</v>
      </c>
      <c r="Q1728" s="179">
        <f t="shared" si="51"/>
        <v>5.4491666666666667</v>
      </c>
      <c r="R1728" s="179" t="s">
        <v>993</v>
      </c>
    </row>
    <row r="1729" spans="1:18" x14ac:dyDescent="0.15">
      <c r="A1729" s="179" t="str">
        <f t="shared" si="50"/>
        <v>Tehuacan_Optimal Year Round_270</v>
      </c>
      <c r="B1729" s="179" t="s">
        <v>1154</v>
      </c>
      <c r="C1729" s="179">
        <v>18</v>
      </c>
      <c r="D1729" s="179">
        <v>270</v>
      </c>
      <c r="E1729" s="179">
        <v>4.84</v>
      </c>
      <c r="F1729" s="179">
        <v>5.18</v>
      </c>
      <c r="G1729" s="179">
        <v>5.49</v>
      </c>
      <c r="H1729" s="179">
        <v>5.29</v>
      </c>
      <c r="I1729" s="179">
        <v>5.17</v>
      </c>
      <c r="J1729" s="179">
        <v>5.03</v>
      </c>
      <c r="K1729" s="179">
        <v>5.0999999999999996</v>
      </c>
      <c r="L1729" s="179">
        <v>4.66</v>
      </c>
      <c r="M1729" s="179">
        <v>4.54</v>
      </c>
      <c r="N1729" s="179">
        <v>4.78</v>
      </c>
      <c r="O1729" s="179">
        <v>4.9400000000000004</v>
      </c>
      <c r="P1729" s="179">
        <v>4.78</v>
      </c>
      <c r="Q1729" s="179">
        <f t="shared" si="51"/>
        <v>4.9833333333333334</v>
      </c>
      <c r="R1729" s="179" t="s">
        <v>993</v>
      </c>
    </row>
    <row r="1730" spans="1:18" x14ac:dyDescent="0.15">
      <c r="A1730" s="179" t="str">
        <f t="shared" ref="A1730:A1793" si="52">B1730&amp;"_"&amp;R1730&amp;"_"&amp;D1730</f>
        <v>Tepic_Flat Surface_90</v>
      </c>
      <c r="B1730" s="179" t="s">
        <v>1155</v>
      </c>
      <c r="C1730" s="179">
        <v>0</v>
      </c>
      <c r="D1730" s="179">
        <v>90</v>
      </c>
      <c r="E1730" s="179">
        <v>4.4800000000000004</v>
      </c>
      <c r="F1730" s="179">
        <v>5.58</v>
      </c>
      <c r="G1730" s="179">
        <v>6.74</v>
      </c>
      <c r="H1730" s="179">
        <v>7.24</v>
      </c>
      <c r="I1730" s="179">
        <v>7.62</v>
      </c>
      <c r="J1730" s="179">
        <v>6.55</v>
      </c>
      <c r="K1730" s="179">
        <v>5.83</v>
      </c>
      <c r="L1730" s="179">
        <v>5.64</v>
      </c>
      <c r="M1730" s="179">
        <v>5.25</v>
      </c>
      <c r="N1730" s="179">
        <v>5.38</v>
      </c>
      <c r="O1730" s="179">
        <v>5.0199999999999996</v>
      </c>
      <c r="P1730" s="179">
        <v>4.2699999999999996</v>
      </c>
      <c r="Q1730" s="179">
        <f t="shared" ref="Q1730:Q1793" si="53">AVERAGE(E1730:P1730)</f>
        <v>5.8</v>
      </c>
      <c r="R1730" s="179" t="s">
        <v>994</v>
      </c>
    </row>
    <row r="1731" spans="1:18" x14ac:dyDescent="0.15">
      <c r="A1731" s="179" t="str">
        <f t="shared" si="52"/>
        <v>Tepic_Flat Surface_112.5</v>
      </c>
      <c r="B1731" s="179" t="s">
        <v>1155</v>
      </c>
      <c r="C1731" s="179">
        <v>0</v>
      </c>
      <c r="D1731" s="179">
        <v>112.5</v>
      </c>
      <c r="E1731" s="179">
        <v>4.4800000000000004</v>
      </c>
      <c r="F1731" s="179">
        <v>5.58</v>
      </c>
      <c r="G1731" s="179">
        <v>6.74</v>
      </c>
      <c r="H1731" s="179">
        <v>7.24</v>
      </c>
      <c r="I1731" s="179">
        <v>7.62</v>
      </c>
      <c r="J1731" s="179">
        <v>6.55</v>
      </c>
      <c r="K1731" s="179">
        <v>5.83</v>
      </c>
      <c r="L1731" s="179">
        <v>5.64</v>
      </c>
      <c r="M1731" s="179">
        <v>5.25</v>
      </c>
      <c r="N1731" s="179">
        <v>5.38</v>
      </c>
      <c r="O1731" s="179">
        <v>5.0199999999999996</v>
      </c>
      <c r="P1731" s="179">
        <v>4.2699999999999996</v>
      </c>
      <c r="Q1731" s="179">
        <f t="shared" si="53"/>
        <v>5.8</v>
      </c>
      <c r="R1731" s="179" t="s">
        <v>994</v>
      </c>
    </row>
    <row r="1732" spans="1:18" x14ac:dyDescent="0.15">
      <c r="A1732" s="179" t="str">
        <f t="shared" si="52"/>
        <v>Tepic_Flat Surface_135</v>
      </c>
      <c r="B1732" s="179" t="s">
        <v>1155</v>
      </c>
      <c r="C1732" s="179">
        <v>0</v>
      </c>
      <c r="D1732" s="179">
        <v>135</v>
      </c>
      <c r="E1732" s="179">
        <v>4.4800000000000004</v>
      </c>
      <c r="F1732" s="179">
        <v>5.58</v>
      </c>
      <c r="G1732" s="179">
        <v>6.74</v>
      </c>
      <c r="H1732" s="179">
        <v>7.24</v>
      </c>
      <c r="I1732" s="179">
        <v>7.62</v>
      </c>
      <c r="J1732" s="179">
        <v>6.55</v>
      </c>
      <c r="K1732" s="179">
        <v>5.83</v>
      </c>
      <c r="L1732" s="179">
        <v>5.64</v>
      </c>
      <c r="M1732" s="179">
        <v>5.25</v>
      </c>
      <c r="N1732" s="179">
        <v>5.38</v>
      </c>
      <c r="O1732" s="179">
        <v>5.0199999999999996</v>
      </c>
      <c r="P1732" s="179">
        <v>4.2699999999999996</v>
      </c>
      <c r="Q1732" s="179">
        <f t="shared" si="53"/>
        <v>5.8</v>
      </c>
      <c r="R1732" s="179" t="s">
        <v>994</v>
      </c>
    </row>
    <row r="1733" spans="1:18" x14ac:dyDescent="0.15">
      <c r="A1733" s="179" t="str">
        <f t="shared" si="52"/>
        <v>Tepic_Flat Surface_157.5</v>
      </c>
      <c r="B1733" s="179" t="s">
        <v>1155</v>
      </c>
      <c r="C1733" s="179">
        <v>0</v>
      </c>
      <c r="D1733" s="179">
        <v>157.5</v>
      </c>
      <c r="E1733" s="179">
        <v>4.4800000000000004</v>
      </c>
      <c r="F1733" s="179">
        <v>5.58</v>
      </c>
      <c r="G1733" s="179">
        <v>6.74</v>
      </c>
      <c r="H1733" s="179">
        <v>7.24</v>
      </c>
      <c r="I1733" s="179">
        <v>7.62</v>
      </c>
      <c r="J1733" s="179">
        <v>6.55</v>
      </c>
      <c r="K1733" s="179">
        <v>5.83</v>
      </c>
      <c r="L1733" s="179">
        <v>5.64</v>
      </c>
      <c r="M1733" s="179">
        <v>5.25</v>
      </c>
      <c r="N1733" s="179">
        <v>5.38</v>
      </c>
      <c r="O1733" s="179">
        <v>5.0199999999999996</v>
      </c>
      <c r="P1733" s="179">
        <v>4.2699999999999996</v>
      </c>
      <c r="Q1733" s="179">
        <f t="shared" si="53"/>
        <v>5.8</v>
      </c>
      <c r="R1733" s="179" t="s">
        <v>994</v>
      </c>
    </row>
    <row r="1734" spans="1:18" x14ac:dyDescent="0.15">
      <c r="A1734" s="179" t="str">
        <f t="shared" si="52"/>
        <v>Tepic_Flat Surface_180</v>
      </c>
      <c r="B1734" s="179" t="s">
        <v>1155</v>
      </c>
      <c r="C1734" s="179">
        <v>0</v>
      </c>
      <c r="D1734" s="179">
        <v>180</v>
      </c>
      <c r="E1734" s="179">
        <v>4.4800000000000004</v>
      </c>
      <c r="F1734" s="179">
        <v>5.58</v>
      </c>
      <c r="G1734" s="179">
        <v>6.74</v>
      </c>
      <c r="H1734" s="179">
        <v>7.24</v>
      </c>
      <c r="I1734" s="179">
        <v>7.62</v>
      </c>
      <c r="J1734" s="179">
        <v>6.55</v>
      </c>
      <c r="K1734" s="179">
        <v>5.83</v>
      </c>
      <c r="L1734" s="179">
        <v>5.64</v>
      </c>
      <c r="M1734" s="179">
        <v>5.25</v>
      </c>
      <c r="N1734" s="179">
        <v>5.38</v>
      </c>
      <c r="O1734" s="179">
        <v>5.0199999999999996</v>
      </c>
      <c r="P1734" s="179">
        <v>4.2699999999999996</v>
      </c>
      <c r="Q1734" s="179">
        <f t="shared" si="53"/>
        <v>5.8</v>
      </c>
      <c r="R1734" s="179" t="s">
        <v>994</v>
      </c>
    </row>
    <row r="1735" spans="1:18" x14ac:dyDescent="0.15">
      <c r="A1735" s="179" t="str">
        <f t="shared" si="52"/>
        <v>Tepic_Flat Surface_202.5</v>
      </c>
      <c r="B1735" s="179" t="s">
        <v>1155</v>
      </c>
      <c r="C1735" s="179">
        <v>0</v>
      </c>
      <c r="D1735" s="179">
        <v>202.5</v>
      </c>
      <c r="E1735" s="179">
        <v>4.4800000000000004</v>
      </c>
      <c r="F1735" s="179">
        <v>5.58</v>
      </c>
      <c r="G1735" s="179">
        <v>6.74</v>
      </c>
      <c r="H1735" s="179">
        <v>7.24</v>
      </c>
      <c r="I1735" s="179">
        <v>7.62</v>
      </c>
      <c r="J1735" s="179">
        <v>6.55</v>
      </c>
      <c r="K1735" s="179">
        <v>5.83</v>
      </c>
      <c r="L1735" s="179">
        <v>5.64</v>
      </c>
      <c r="M1735" s="179">
        <v>5.25</v>
      </c>
      <c r="N1735" s="179">
        <v>5.38</v>
      </c>
      <c r="O1735" s="179">
        <v>5.0199999999999996</v>
      </c>
      <c r="P1735" s="179">
        <v>4.2699999999999996</v>
      </c>
      <c r="Q1735" s="179">
        <f t="shared" si="53"/>
        <v>5.8</v>
      </c>
      <c r="R1735" s="179" t="s">
        <v>994</v>
      </c>
    </row>
    <row r="1736" spans="1:18" x14ac:dyDescent="0.15">
      <c r="A1736" s="179" t="str">
        <f t="shared" si="52"/>
        <v>Tepic_Flat Surface_225</v>
      </c>
      <c r="B1736" s="179" t="s">
        <v>1155</v>
      </c>
      <c r="C1736" s="179">
        <v>0</v>
      </c>
      <c r="D1736" s="179">
        <v>225</v>
      </c>
      <c r="E1736" s="179">
        <v>4.4800000000000004</v>
      </c>
      <c r="F1736" s="179">
        <v>5.58</v>
      </c>
      <c r="G1736" s="179">
        <v>6.74</v>
      </c>
      <c r="H1736" s="179">
        <v>7.24</v>
      </c>
      <c r="I1736" s="179">
        <v>7.62</v>
      </c>
      <c r="J1736" s="179">
        <v>6.55</v>
      </c>
      <c r="K1736" s="179">
        <v>5.83</v>
      </c>
      <c r="L1736" s="179">
        <v>5.64</v>
      </c>
      <c r="M1736" s="179">
        <v>5.25</v>
      </c>
      <c r="N1736" s="179">
        <v>5.38</v>
      </c>
      <c r="O1736" s="179">
        <v>5.0199999999999996</v>
      </c>
      <c r="P1736" s="179">
        <v>4.2699999999999996</v>
      </c>
      <c r="Q1736" s="179">
        <f t="shared" si="53"/>
        <v>5.8</v>
      </c>
      <c r="R1736" s="179" t="s">
        <v>994</v>
      </c>
    </row>
    <row r="1737" spans="1:18" x14ac:dyDescent="0.15">
      <c r="A1737" s="179" t="str">
        <f t="shared" si="52"/>
        <v>Tepic_Flat Surface_247.5</v>
      </c>
      <c r="B1737" s="179" t="s">
        <v>1155</v>
      </c>
      <c r="C1737" s="179">
        <v>0</v>
      </c>
      <c r="D1737" s="179">
        <v>247.5</v>
      </c>
      <c r="E1737" s="179">
        <v>4.4800000000000004</v>
      </c>
      <c r="F1737" s="179">
        <v>5.58</v>
      </c>
      <c r="G1737" s="179">
        <v>6.74</v>
      </c>
      <c r="H1737" s="179">
        <v>7.24</v>
      </c>
      <c r="I1737" s="179">
        <v>7.62</v>
      </c>
      <c r="J1737" s="179">
        <v>6.55</v>
      </c>
      <c r="K1737" s="179">
        <v>5.83</v>
      </c>
      <c r="L1737" s="179">
        <v>5.64</v>
      </c>
      <c r="M1737" s="179">
        <v>5.25</v>
      </c>
      <c r="N1737" s="179">
        <v>5.38</v>
      </c>
      <c r="O1737" s="179">
        <v>5.0199999999999996</v>
      </c>
      <c r="P1737" s="179">
        <v>4.2699999999999996</v>
      </c>
      <c r="Q1737" s="179">
        <f t="shared" si="53"/>
        <v>5.8</v>
      </c>
      <c r="R1737" s="179" t="s">
        <v>994</v>
      </c>
    </row>
    <row r="1738" spans="1:18" x14ac:dyDescent="0.15">
      <c r="A1738" s="179" t="str">
        <f t="shared" si="52"/>
        <v>Tepic_Flat Surface_270</v>
      </c>
      <c r="B1738" s="179" t="s">
        <v>1155</v>
      </c>
      <c r="C1738" s="179">
        <v>0</v>
      </c>
      <c r="D1738" s="179">
        <v>270</v>
      </c>
      <c r="E1738" s="179">
        <v>4.4800000000000004</v>
      </c>
      <c r="F1738" s="179">
        <v>5.58</v>
      </c>
      <c r="G1738" s="179">
        <v>6.74</v>
      </c>
      <c r="H1738" s="179">
        <v>7.24</v>
      </c>
      <c r="I1738" s="179">
        <v>7.62</v>
      </c>
      <c r="J1738" s="179">
        <v>6.55</v>
      </c>
      <c r="K1738" s="179">
        <v>5.83</v>
      </c>
      <c r="L1738" s="179">
        <v>5.64</v>
      </c>
      <c r="M1738" s="179">
        <v>5.25</v>
      </c>
      <c r="N1738" s="179">
        <v>5.38</v>
      </c>
      <c r="O1738" s="179">
        <v>5.0199999999999996</v>
      </c>
      <c r="P1738" s="179">
        <v>4.2699999999999996</v>
      </c>
      <c r="Q1738" s="179">
        <f t="shared" si="53"/>
        <v>5.8</v>
      </c>
      <c r="R1738" s="179" t="s">
        <v>994</v>
      </c>
    </row>
    <row r="1739" spans="1:18" x14ac:dyDescent="0.15">
      <c r="A1739" s="179" t="str">
        <f t="shared" si="52"/>
        <v>Tepic_Optimal Summer_90</v>
      </c>
      <c r="B1739" s="179" t="s">
        <v>1155</v>
      </c>
      <c r="C1739" s="179">
        <v>7</v>
      </c>
      <c r="D1739" s="179">
        <v>90</v>
      </c>
      <c r="E1739" s="179">
        <v>3.87</v>
      </c>
      <c r="F1739" s="179">
        <v>4.74</v>
      </c>
      <c r="G1739" s="179">
        <v>5.58</v>
      </c>
      <c r="H1739" s="179">
        <v>5.84</v>
      </c>
      <c r="I1739" s="179">
        <v>6.02</v>
      </c>
      <c r="J1739" s="179">
        <v>5.29</v>
      </c>
      <c r="K1739" s="179">
        <v>4.5999999999999996</v>
      </c>
      <c r="L1739" s="179">
        <v>4.51</v>
      </c>
      <c r="M1739" s="179">
        <v>4.28</v>
      </c>
      <c r="N1739" s="179">
        <v>4.51</v>
      </c>
      <c r="O1739" s="179">
        <v>4.3499999999999996</v>
      </c>
      <c r="P1739" s="179">
        <v>3.71</v>
      </c>
      <c r="Q1739" s="179">
        <f t="shared" si="53"/>
        <v>4.7749999999999995</v>
      </c>
      <c r="R1739" s="179" t="s">
        <v>958</v>
      </c>
    </row>
    <row r="1740" spans="1:18" x14ac:dyDescent="0.15">
      <c r="A1740" s="179" t="str">
        <f t="shared" si="52"/>
        <v>Tepic_Optimal Summer_112.5</v>
      </c>
      <c r="B1740" s="179" t="s">
        <v>1155</v>
      </c>
      <c r="C1740" s="179">
        <v>7</v>
      </c>
      <c r="D1740" s="179">
        <v>112.5</v>
      </c>
      <c r="E1740" s="179">
        <v>4.24</v>
      </c>
      <c r="F1740" s="179">
        <v>5.19</v>
      </c>
      <c r="G1740" s="179">
        <v>6.11</v>
      </c>
      <c r="H1740" s="179">
        <v>6.39</v>
      </c>
      <c r="I1740" s="179">
        <v>6.58</v>
      </c>
      <c r="J1740" s="179">
        <v>5.78</v>
      </c>
      <c r="K1740" s="179">
        <v>5.03</v>
      </c>
      <c r="L1740" s="179">
        <v>4.9400000000000004</v>
      </c>
      <c r="M1740" s="179">
        <v>4.68</v>
      </c>
      <c r="N1740" s="179">
        <v>4.9400000000000004</v>
      </c>
      <c r="O1740" s="179">
        <v>4.76</v>
      </c>
      <c r="P1740" s="179">
        <v>4.0599999999999996</v>
      </c>
      <c r="Q1740" s="179">
        <f t="shared" si="53"/>
        <v>5.2249999999999996</v>
      </c>
      <c r="R1740" s="179" t="s">
        <v>958</v>
      </c>
    </row>
    <row r="1741" spans="1:18" x14ac:dyDescent="0.15">
      <c r="A1741" s="179" t="str">
        <f t="shared" si="52"/>
        <v>Tepic_Optimal Summer_135</v>
      </c>
      <c r="B1741" s="179" t="s">
        <v>1155</v>
      </c>
      <c r="C1741" s="179">
        <v>7</v>
      </c>
      <c r="D1741" s="179">
        <v>135</v>
      </c>
      <c r="E1741" s="179">
        <v>4.5999999999999996</v>
      </c>
      <c r="F1741" s="179">
        <v>5.63</v>
      </c>
      <c r="G1741" s="179">
        <v>6.63</v>
      </c>
      <c r="H1741" s="179">
        <v>6.94</v>
      </c>
      <c r="I1741" s="179">
        <v>7.14</v>
      </c>
      <c r="J1741" s="179">
        <v>6.28</v>
      </c>
      <c r="K1741" s="179">
        <v>5.46</v>
      </c>
      <c r="L1741" s="179">
        <v>5.36</v>
      </c>
      <c r="M1741" s="179">
        <v>5.08</v>
      </c>
      <c r="N1741" s="179">
        <v>5.36</v>
      </c>
      <c r="O1741" s="179">
        <v>5.17</v>
      </c>
      <c r="P1741" s="179">
        <v>4.41</v>
      </c>
      <c r="Q1741" s="179">
        <f t="shared" si="53"/>
        <v>5.6716666666666669</v>
      </c>
      <c r="R1741" s="179" t="s">
        <v>958</v>
      </c>
    </row>
    <row r="1742" spans="1:18" x14ac:dyDescent="0.15">
      <c r="A1742" s="179" t="str">
        <f t="shared" si="52"/>
        <v>Tepic_Optimal Summer_157.5</v>
      </c>
      <c r="B1742" s="179" t="s">
        <v>1155</v>
      </c>
      <c r="C1742" s="179">
        <v>7</v>
      </c>
      <c r="D1742" s="179">
        <v>157.5</v>
      </c>
      <c r="E1742" s="179">
        <v>4.72</v>
      </c>
      <c r="F1742" s="179">
        <v>5.78</v>
      </c>
      <c r="G1742" s="179">
        <v>6.81</v>
      </c>
      <c r="H1742" s="179">
        <v>7.12</v>
      </c>
      <c r="I1742" s="179">
        <v>7.33</v>
      </c>
      <c r="J1742" s="179">
        <v>6.44</v>
      </c>
      <c r="K1742" s="179">
        <v>5.61</v>
      </c>
      <c r="L1742" s="179">
        <v>5.5</v>
      </c>
      <c r="M1742" s="179">
        <v>5.22</v>
      </c>
      <c r="N1742" s="179">
        <v>5.5</v>
      </c>
      <c r="O1742" s="179">
        <v>5.3</v>
      </c>
      <c r="P1742" s="179">
        <v>4.5199999999999996</v>
      </c>
      <c r="Q1742" s="179">
        <f t="shared" si="53"/>
        <v>5.8208333333333329</v>
      </c>
      <c r="R1742" s="179" t="s">
        <v>958</v>
      </c>
    </row>
    <row r="1743" spans="1:18" x14ac:dyDescent="0.15">
      <c r="A1743" s="179" t="str">
        <f t="shared" si="52"/>
        <v>Tepic_Optimal Summer_180</v>
      </c>
      <c r="B1743" s="179" t="s">
        <v>1155</v>
      </c>
      <c r="C1743" s="179">
        <v>7</v>
      </c>
      <c r="D1743" s="179">
        <v>180</v>
      </c>
      <c r="E1743" s="179">
        <v>4.84</v>
      </c>
      <c r="F1743" s="179">
        <v>5.93</v>
      </c>
      <c r="G1743" s="179">
        <v>6.98</v>
      </c>
      <c r="H1743" s="179">
        <v>7.3</v>
      </c>
      <c r="I1743" s="179">
        <v>7.52</v>
      </c>
      <c r="J1743" s="179">
        <v>6.61</v>
      </c>
      <c r="K1743" s="179">
        <v>5.75</v>
      </c>
      <c r="L1743" s="179">
        <v>5.64</v>
      </c>
      <c r="M1743" s="179">
        <v>5.35</v>
      </c>
      <c r="N1743" s="179">
        <v>5.64</v>
      </c>
      <c r="O1743" s="179">
        <v>5.44</v>
      </c>
      <c r="P1743" s="179">
        <v>4.6399999999999997</v>
      </c>
      <c r="Q1743" s="179">
        <f t="shared" si="53"/>
        <v>5.97</v>
      </c>
      <c r="R1743" s="179" t="s">
        <v>958</v>
      </c>
    </row>
    <row r="1744" spans="1:18" x14ac:dyDescent="0.15">
      <c r="A1744" s="179" t="str">
        <f t="shared" si="52"/>
        <v>Tepic_Optimal Summer_202.5</v>
      </c>
      <c r="B1744" s="179" t="s">
        <v>1155</v>
      </c>
      <c r="C1744" s="179">
        <v>7</v>
      </c>
      <c r="D1744" s="179">
        <v>202.5</v>
      </c>
      <c r="E1744" s="179">
        <v>4.72</v>
      </c>
      <c r="F1744" s="179">
        <v>5.78</v>
      </c>
      <c r="G1744" s="179">
        <v>6.81</v>
      </c>
      <c r="H1744" s="179">
        <v>7.12</v>
      </c>
      <c r="I1744" s="179">
        <v>7.33</v>
      </c>
      <c r="J1744" s="179">
        <v>6.44</v>
      </c>
      <c r="K1744" s="179">
        <v>5.61</v>
      </c>
      <c r="L1744" s="179">
        <v>5.5</v>
      </c>
      <c r="M1744" s="179">
        <v>5.22</v>
      </c>
      <c r="N1744" s="179">
        <v>5.5</v>
      </c>
      <c r="O1744" s="179">
        <v>5.3</v>
      </c>
      <c r="P1744" s="179">
        <v>4.5199999999999996</v>
      </c>
      <c r="Q1744" s="179">
        <f t="shared" si="53"/>
        <v>5.8208333333333329</v>
      </c>
      <c r="R1744" s="179" t="s">
        <v>958</v>
      </c>
    </row>
    <row r="1745" spans="1:18" x14ac:dyDescent="0.15">
      <c r="A1745" s="179" t="str">
        <f t="shared" si="52"/>
        <v>Tepic_Optimal Summer_225</v>
      </c>
      <c r="B1745" s="179" t="s">
        <v>1155</v>
      </c>
      <c r="C1745" s="179">
        <v>7</v>
      </c>
      <c r="D1745" s="179">
        <v>225</v>
      </c>
      <c r="E1745" s="179">
        <v>4.5999999999999996</v>
      </c>
      <c r="F1745" s="179">
        <v>5.63</v>
      </c>
      <c r="G1745" s="179">
        <v>6.63</v>
      </c>
      <c r="H1745" s="179">
        <v>6.94</v>
      </c>
      <c r="I1745" s="179">
        <v>7.14</v>
      </c>
      <c r="J1745" s="179">
        <v>6.28</v>
      </c>
      <c r="K1745" s="179">
        <v>5.46</v>
      </c>
      <c r="L1745" s="179">
        <v>5.36</v>
      </c>
      <c r="M1745" s="179">
        <v>5.08</v>
      </c>
      <c r="N1745" s="179">
        <v>5.36</v>
      </c>
      <c r="O1745" s="179">
        <v>5.17</v>
      </c>
      <c r="P1745" s="179">
        <v>4.41</v>
      </c>
      <c r="Q1745" s="179">
        <f t="shared" si="53"/>
        <v>5.6716666666666669</v>
      </c>
      <c r="R1745" s="179" t="s">
        <v>958</v>
      </c>
    </row>
    <row r="1746" spans="1:18" x14ac:dyDescent="0.15">
      <c r="A1746" s="179" t="str">
        <f t="shared" si="52"/>
        <v>Tepic_Optimal Summer_247.5</v>
      </c>
      <c r="B1746" s="179" t="s">
        <v>1155</v>
      </c>
      <c r="C1746" s="179">
        <v>7</v>
      </c>
      <c r="D1746" s="179">
        <v>247.5</v>
      </c>
      <c r="E1746" s="179">
        <v>4.24</v>
      </c>
      <c r="F1746" s="179">
        <v>5.19</v>
      </c>
      <c r="G1746" s="179">
        <v>6.11</v>
      </c>
      <c r="H1746" s="179">
        <v>6.39</v>
      </c>
      <c r="I1746" s="179">
        <v>6.58</v>
      </c>
      <c r="J1746" s="179">
        <v>5.78</v>
      </c>
      <c r="K1746" s="179">
        <v>5.03</v>
      </c>
      <c r="L1746" s="179">
        <v>4.9400000000000004</v>
      </c>
      <c r="M1746" s="179">
        <v>4.68</v>
      </c>
      <c r="N1746" s="179">
        <v>4.9400000000000004</v>
      </c>
      <c r="O1746" s="179">
        <v>4.76</v>
      </c>
      <c r="P1746" s="179">
        <v>4.0599999999999996</v>
      </c>
      <c r="Q1746" s="179">
        <f t="shared" si="53"/>
        <v>5.2249999999999996</v>
      </c>
      <c r="R1746" s="179" t="s">
        <v>958</v>
      </c>
    </row>
    <row r="1747" spans="1:18" x14ac:dyDescent="0.15">
      <c r="A1747" s="179" t="str">
        <f t="shared" si="52"/>
        <v>Tepic_Optimal Summer_270</v>
      </c>
      <c r="B1747" s="179" t="s">
        <v>1155</v>
      </c>
      <c r="C1747" s="179">
        <v>7</v>
      </c>
      <c r="D1747" s="179">
        <v>270</v>
      </c>
      <c r="E1747" s="179">
        <v>3.87</v>
      </c>
      <c r="F1747" s="179">
        <v>4.74</v>
      </c>
      <c r="G1747" s="179">
        <v>5.58</v>
      </c>
      <c r="H1747" s="179">
        <v>5.84</v>
      </c>
      <c r="I1747" s="179">
        <v>6.02</v>
      </c>
      <c r="J1747" s="179">
        <v>5.29</v>
      </c>
      <c r="K1747" s="179">
        <v>4.5999999999999996</v>
      </c>
      <c r="L1747" s="179">
        <v>4.51</v>
      </c>
      <c r="M1747" s="179">
        <v>4.28</v>
      </c>
      <c r="N1747" s="179">
        <v>4.51</v>
      </c>
      <c r="O1747" s="179">
        <v>4.3499999999999996</v>
      </c>
      <c r="P1747" s="179">
        <v>3.71</v>
      </c>
      <c r="Q1747" s="179">
        <f t="shared" si="53"/>
        <v>4.7749999999999995</v>
      </c>
      <c r="R1747" s="179" t="s">
        <v>958</v>
      </c>
    </row>
    <row r="1748" spans="1:18" x14ac:dyDescent="0.15">
      <c r="A1748" s="179" t="str">
        <f t="shared" si="52"/>
        <v>Tepic_Optimal Year Round_90</v>
      </c>
      <c r="B1748" s="179" t="s">
        <v>1155</v>
      </c>
      <c r="C1748" s="179">
        <v>22</v>
      </c>
      <c r="D1748" s="179">
        <v>90</v>
      </c>
      <c r="E1748" s="179">
        <v>4.45</v>
      </c>
      <c r="F1748" s="179">
        <v>5.25</v>
      </c>
      <c r="G1748" s="179">
        <v>5.83</v>
      </c>
      <c r="H1748" s="179">
        <v>5.74</v>
      </c>
      <c r="I1748" s="179">
        <v>5.59</v>
      </c>
      <c r="J1748" s="179">
        <v>5.23</v>
      </c>
      <c r="K1748" s="179">
        <v>4.3</v>
      </c>
      <c r="L1748" s="179">
        <v>4.3600000000000003</v>
      </c>
      <c r="M1748" s="179">
        <v>4.32</v>
      </c>
      <c r="N1748" s="179">
        <v>4.8600000000000003</v>
      </c>
      <c r="O1748" s="179">
        <v>5.01</v>
      </c>
      <c r="P1748" s="179">
        <v>4.32</v>
      </c>
      <c r="Q1748" s="179">
        <f t="shared" si="53"/>
        <v>4.9383333333333335</v>
      </c>
      <c r="R1748" s="179" t="s">
        <v>993</v>
      </c>
    </row>
    <row r="1749" spans="1:18" x14ac:dyDescent="0.15">
      <c r="A1749" s="179" t="str">
        <f t="shared" si="52"/>
        <v>Tepic_Optimal Year Round_112.5</v>
      </c>
      <c r="B1749" s="179" t="s">
        <v>1155</v>
      </c>
      <c r="C1749" s="179">
        <v>22</v>
      </c>
      <c r="D1749" s="179">
        <v>112.5</v>
      </c>
      <c r="E1749" s="179">
        <v>4.8600000000000003</v>
      </c>
      <c r="F1749" s="179">
        <v>5.74</v>
      </c>
      <c r="G1749" s="179">
        <v>6.38</v>
      </c>
      <c r="H1749" s="179">
        <v>6.27</v>
      </c>
      <c r="I1749" s="179">
        <v>6.12</v>
      </c>
      <c r="J1749" s="179">
        <v>5.72</v>
      </c>
      <c r="K1749" s="179">
        <v>4.7</v>
      </c>
      <c r="L1749" s="179">
        <v>4.7699999999999996</v>
      </c>
      <c r="M1749" s="179">
        <v>4.72</v>
      </c>
      <c r="N1749" s="179">
        <v>5.31</v>
      </c>
      <c r="O1749" s="179">
        <v>5.48</v>
      </c>
      <c r="P1749" s="179">
        <v>4.72</v>
      </c>
      <c r="Q1749" s="179">
        <f t="shared" si="53"/>
        <v>5.3991666666666669</v>
      </c>
      <c r="R1749" s="179" t="s">
        <v>993</v>
      </c>
    </row>
    <row r="1750" spans="1:18" x14ac:dyDescent="0.15">
      <c r="A1750" s="179" t="str">
        <f t="shared" si="52"/>
        <v>Tepic_Optimal Year Round_135</v>
      </c>
      <c r="B1750" s="179" t="s">
        <v>1155</v>
      </c>
      <c r="C1750" s="179">
        <v>22</v>
      </c>
      <c r="D1750" s="179">
        <v>135</v>
      </c>
      <c r="E1750" s="179">
        <v>5.28</v>
      </c>
      <c r="F1750" s="179">
        <v>6.23</v>
      </c>
      <c r="G1750" s="179">
        <v>6.93</v>
      </c>
      <c r="H1750" s="179">
        <v>6.81</v>
      </c>
      <c r="I1750" s="179">
        <v>6.64</v>
      </c>
      <c r="J1750" s="179">
        <v>6.21</v>
      </c>
      <c r="K1750" s="179">
        <v>5.0999999999999996</v>
      </c>
      <c r="L1750" s="179">
        <v>5.18</v>
      </c>
      <c r="M1750" s="179">
        <v>5.13</v>
      </c>
      <c r="N1750" s="179">
        <v>5.77</v>
      </c>
      <c r="O1750" s="179">
        <v>5.95</v>
      </c>
      <c r="P1750" s="179">
        <v>5.13</v>
      </c>
      <c r="Q1750" s="179">
        <f t="shared" si="53"/>
        <v>5.8633333333333333</v>
      </c>
      <c r="R1750" s="179" t="s">
        <v>993</v>
      </c>
    </row>
    <row r="1751" spans="1:18" x14ac:dyDescent="0.15">
      <c r="A1751" s="179" t="str">
        <f t="shared" si="52"/>
        <v>Tepic_Optimal Year Round_157.5</v>
      </c>
      <c r="B1751" s="179" t="s">
        <v>1155</v>
      </c>
      <c r="C1751" s="179">
        <v>22</v>
      </c>
      <c r="D1751" s="179">
        <v>157.5</v>
      </c>
      <c r="E1751" s="179">
        <v>5.42</v>
      </c>
      <c r="F1751" s="179">
        <v>6.4</v>
      </c>
      <c r="G1751" s="179">
        <v>7.11</v>
      </c>
      <c r="H1751" s="179">
        <v>6.99</v>
      </c>
      <c r="I1751" s="179">
        <v>6.82</v>
      </c>
      <c r="J1751" s="179">
        <v>6.38</v>
      </c>
      <c r="K1751" s="179">
        <v>5.24</v>
      </c>
      <c r="L1751" s="179">
        <v>5.31</v>
      </c>
      <c r="M1751" s="179">
        <v>5.26</v>
      </c>
      <c r="N1751" s="179">
        <v>5.92</v>
      </c>
      <c r="O1751" s="179">
        <v>6.1</v>
      </c>
      <c r="P1751" s="179">
        <v>5.26</v>
      </c>
      <c r="Q1751" s="179">
        <f t="shared" si="53"/>
        <v>6.017500000000001</v>
      </c>
      <c r="R1751" s="179" t="s">
        <v>993</v>
      </c>
    </row>
    <row r="1752" spans="1:18" x14ac:dyDescent="0.15">
      <c r="A1752" s="179" t="str">
        <f t="shared" si="52"/>
        <v>Tepic_Optimal Year Round_180</v>
      </c>
      <c r="B1752" s="179" t="s">
        <v>1155</v>
      </c>
      <c r="C1752" s="179">
        <v>22</v>
      </c>
      <c r="D1752" s="179">
        <v>180</v>
      </c>
      <c r="E1752" s="179">
        <v>5.56</v>
      </c>
      <c r="F1752" s="179">
        <v>6.56</v>
      </c>
      <c r="G1752" s="179">
        <v>7.29</v>
      </c>
      <c r="H1752" s="179">
        <v>7.17</v>
      </c>
      <c r="I1752" s="179">
        <v>6.99</v>
      </c>
      <c r="J1752" s="179">
        <v>6.54</v>
      </c>
      <c r="K1752" s="179">
        <v>5.37</v>
      </c>
      <c r="L1752" s="179">
        <v>5.45</v>
      </c>
      <c r="M1752" s="179">
        <v>5.4</v>
      </c>
      <c r="N1752" s="179">
        <v>6.07</v>
      </c>
      <c r="O1752" s="179">
        <v>6.26</v>
      </c>
      <c r="P1752" s="179">
        <v>5.4</v>
      </c>
      <c r="Q1752" s="179">
        <f t="shared" si="53"/>
        <v>6.1716666666666669</v>
      </c>
      <c r="R1752" s="179" t="s">
        <v>993</v>
      </c>
    </row>
    <row r="1753" spans="1:18" x14ac:dyDescent="0.15">
      <c r="A1753" s="179" t="str">
        <f t="shared" si="52"/>
        <v>Tepic_Optimal Year Round_202.5</v>
      </c>
      <c r="B1753" s="179" t="s">
        <v>1155</v>
      </c>
      <c r="C1753" s="179">
        <v>22</v>
      </c>
      <c r="D1753" s="179">
        <v>202.5</v>
      </c>
      <c r="E1753" s="179">
        <v>5.42</v>
      </c>
      <c r="F1753" s="179">
        <v>6.4</v>
      </c>
      <c r="G1753" s="179">
        <v>7.11</v>
      </c>
      <c r="H1753" s="179">
        <v>6.99</v>
      </c>
      <c r="I1753" s="179">
        <v>6.82</v>
      </c>
      <c r="J1753" s="179">
        <v>6.38</v>
      </c>
      <c r="K1753" s="179">
        <v>5.24</v>
      </c>
      <c r="L1753" s="179">
        <v>5.31</v>
      </c>
      <c r="M1753" s="179">
        <v>5.26</v>
      </c>
      <c r="N1753" s="179">
        <v>5.92</v>
      </c>
      <c r="O1753" s="179">
        <v>6.1</v>
      </c>
      <c r="P1753" s="179">
        <v>5.26</v>
      </c>
      <c r="Q1753" s="179">
        <f t="shared" si="53"/>
        <v>6.017500000000001</v>
      </c>
      <c r="R1753" s="179" t="s">
        <v>993</v>
      </c>
    </row>
    <row r="1754" spans="1:18" x14ac:dyDescent="0.15">
      <c r="A1754" s="179" t="str">
        <f t="shared" si="52"/>
        <v>Tepic_Optimal Year Round_225</v>
      </c>
      <c r="B1754" s="179" t="s">
        <v>1155</v>
      </c>
      <c r="C1754" s="179">
        <v>22</v>
      </c>
      <c r="D1754" s="179">
        <v>225</v>
      </c>
      <c r="E1754" s="179">
        <v>5.28</v>
      </c>
      <c r="F1754" s="179">
        <v>6.23</v>
      </c>
      <c r="G1754" s="179">
        <v>6.93</v>
      </c>
      <c r="H1754" s="179">
        <v>6.81</v>
      </c>
      <c r="I1754" s="179">
        <v>6.64</v>
      </c>
      <c r="J1754" s="179">
        <v>6.21</v>
      </c>
      <c r="K1754" s="179">
        <v>5.0999999999999996</v>
      </c>
      <c r="L1754" s="179">
        <v>5.18</v>
      </c>
      <c r="M1754" s="179">
        <v>5.13</v>
      </c>
      <c r="N1754" s="179">
        <v>5.77</v>
      </c>
      <c r="O1754" s="179">
        <v>5.95</v>
      </c>
      <c r="P1754" s="179">
        <v>5.13</v>
      </c>
      <c r="Q1754" s="179">
        <f t="shared" si="53"/>
        <v>5.8633333333333333</v>
      </c>
      <c r="R1754" s="179" t="s">
        <v>993</v>
      </c>
    </row>
    <row r="1755" spans="1:18" x14ac:dyDescent="0.15">
      <c r="A1755" s="179" t="str">
        <f t="shared" si="52"/>
        <v>Tepic_Optimal Year Round_247.5</v>
      </c>
      <c r="B1755" s="179" t="s">
        <v>1155</v>
      </c>
      <c r="C1755" s="179">
        <v>22</v>
      </c>
      <c r="D1755" s="179">
        <v>247.5</v>
      </c>
      <c r="E1755" s="179">
        <v>4.8600000000000003</v>
      </c>
      <c r="F1755" s="179">
        <v>5.74</v>
      </c>
      <c r="G1755" s="179">
        <v>6.38</v>
      </c>
      <c r="H1755" s="179">
        <v>6.27</v>
      </c>
      <c r="I1755" s="179">
        <v>6.12</v>
      </c>
      <c r="J1755" s="179">
        <v>5.72</v>
      </c>
      <c r="K1755" s="179">
        <v>4.7</v>
      </c>
      <c r="L1755" s="179">
        <v>4.7699999999999996</v>
      </c>
      <c r="M1755" s="179">
        <v>4.72</v>
      </c>
      <c r="N1755" s="179">
        <v>5.31</v>
      </c>
      <c r="O1755" s="179">
        <v>5.48</v>
      </c>
      <c r="P1755" s="179">
        <v>4.72</v>
      </c>
      <c r="Q1755" s="179">
        <f t="shared" si="53"/>
        <v>5.3991666666666669</v>
      </c>
      <c r="R1755" s="179" t="s">
        <v>993</v>
      </c>
    </row>
    <row r="1756" spans="1:18" x14ac:dyDescent="0.15">
      <c r="A1756" s="179" t="str">
        <f t="shared" si="52"/>
        <v>Tepic_Optimal Year Round_270</v>
      </c>
      <c r="B1756" s="179" t="s">
        <v>1155</v>
      </c>
      <c r="C1756" s="179">
        <v>22</v>
      </c>
      <c r="D1756" s="179">
        <v>270</v>
      </c>
      <c r="E1756" s="179">
        <v>4.45</v>
      </c>
      <c r="F1756" s="179">
        <v>5.25</v>
      </c>
      <c r="G1756" s="179">
        <v>5.83</v>
      </c>
      <c r="H1756" s="179">
        <v>5.74</v>
      </c>
      <c r="I1756" s="179">
        <v>5.59</v>
      </c>
      <c r="J1756" s="179">
        <v>5.23</v>
      </c>
      <c r="K1756" s="179">
        <v>4.3</v>
      </c>
      <c r="L1756" s="179">
        <v>4.3600000000000003</v>
      </c>
      <c r="M1756" s="179">
        <v>4.32</v>
      </c>
      <c r="N1756" s="179">
        <v>4.8600000000000003</v>
      </c>
      <c r="O1756" s="179">
        <v>5.01</v>
      </c>
      <c r="P1756" s="179">
        <v>4.32</v>
      </c>
      <c r="Q1756" s="179">
        <f t="shared" si="53"/>
        <v>4.9383333333333335</v>
      </c>
      <c r="R1756" s="179" t="s">
        <v>993</v>
      </c>
    </row>
    <row r="1757" spans="1:18" x14ac:dyDescent="0.15">
      <c r="A1757" s="179" t="str">
        <f t="shared" si="52"/>
        <v>Tepic (PV)_Flat Surface_90</v>
      </c>
      <c r="B1757" s="429" t="s">
        <v>864</v>
      </c>
      <c r="C1757" s="429">
        <v>0</v>
      </c>
      <c r="D1757" s="429">
        <v>90</v>
      </c>
      <c r="E1757" s="431">
        <v>4.4800000000000004</v>
      </c>
      <c r="F1757" s="431">
        <v>5.58</v>
      </c>
      <c r="G1757" s="431">
        <v>6.74</v>
      </c>
      <c r="H1757" s="431">
        <v>7.24</v>
      </c>
      <c r="I1757" s="431">
        <v>7.62</v>
      </c>
      <c r="J1757" s="431">
        <v>6.55</v>
      </c>
      <c r="K1757" s="431">
        <v>5.83</v>
      </c>
      <c r="L1757" s="431">
        <v>5.64</v>
      </c>
      <c r="M1757" s="431">
        <v>5.25</v>
      </c>
      <c r="N1757" s="431">
        <v>5.38</v>
      </c>
      <c r="O1757" s="431">
        <v>5.0199999999999996</v>
      </c>
      <c r="P1757" s="431">
        <v>4.2699999999999996</v>
      </c>
      <c r="Q1757" s="179">
        <f t="shared" si="53"/>
        <v>5.8</v>
      </c>
      <c r="R1757" s="179" t="s">
        <v>994</v>
      </c>
    </row>
    <row r="1758" spans="1:18" x14ac:dyDescent="0.15">
      <c r="A1758" s="179" t="str">
        <f t="shared" si="52"/>
        <v>Tepic (PV)_Flat Surface_112.5</v>
      </c>
      <c r="B1758" s="429" t="s">
        <v>864</v>
      </c>
      <c r="C1758" s="429">
        <v>0</v>
      </c>
      <c r="D1758" s="429">
        <v>112.5</v>
      </c>
      <c r="E1758" s="431">
        <v>4.4800000000000004</v>
      </c>
      <c r="F1758" s="431">
        <v>5.58</v>
      </c>
      <c r="G1758" s="431">
        <v>6.74</v>
      </c>
      <c r="H1758" s="431">
        <v>7.24</v>
      </c>
      <c r="I1758" s="431">
        <v>7.62</v>
      </c>
      <c r="J1758" s="431">
        <v>6.55</v>
      </c>
      <c r="K1758" s="431">
        <v>5.83</v>
      </c>
      <c r="L1758" s="431">
        <v>5.64</v>
      </c>
      <c r="M1758" s="431">
        <v>5.25</v>
      </c>
      <c r="N1758" s="431">
        <v>5.38</v>
      </c>
      <c r="O1758" s="431">
        <v>5.0199999999999996</v>
      </c>
      <c r="P1758" s="431">
        <v>4.2699999999999996</v>
      </c>
      <c r="Q1758" s="179">
        <f t="shared" si="53"/>
        <v>5.8</v>
      </c>
      <c r="R1758" s="179" t="s">
        <v>994</v>
      </c>
    </row>
    <row r="1759" spans="1:18" x14ac:dyDescent="0.15">
      <c r="A1759" s="179" t="str">
        <f t="shared" si="52"/>
        <v>Tepic (PV)_Flat Surface_135</v>
      </c>
      <c r="B1759" s="429" t="s">
        <v>864</v>
      </c>
      <c r="C1759" s="429">
        <v>0</v>
      </c>
      <c r="D1759" s="429">
        <v>135</v>
      </c>
      <c r="E1759" s="431">
        <v>4.4800000000000004</v>
      </c>
      <c r="F1759" s="431">
        <v>5.58</v>
      </c>
      <c r="G1759" s="431">
        <v>6.74</v>
      </c>
      <c r="H1759" s="431">
        <v>7.24</v>
      </c>
      <c r="I1759" s="431">
        <v>7.62</v>
      </c>
      <c r="J1759" s="431">
        <v>6.55</v>
      </c>
      <c r="K1759" s="431">
        <v>5.83</v>
      </c>
      <c r="L1759" s="431">
        <v>5.64</v>
      </c>
      <c r="M1759" s="431">
        <v>5.25</v>
      </c>
      <c r="N1759" s="431">
        <v>5.38</v>
      </c>
      <c r="O1759" s="431">
        <v>5.0199999999999996</v>
      </c>
      <c r="P1759" s="431">
        <v>4.2699999999999996</v>
      </c>
      <c r="Q1759" s="179">
        <f t="shared" si="53"/>
        <v>5.8</v>
      </c>
      <c r="R1759" s="179" t="s">
        <v>994</v>
      </c>
    </row>
    <row r="1760" spans="1:18" x14ac:dyDescent="0.15">
      <c r="A1760" s="179" t="str">
        <f t="shared" si="52"/>
        <v>Tepic (PV)_Flat Surface_157.5</v>
      </c>
      <c r="B1760" s="429" t="s">
        <v>864</v>
      </c>
      <c r="C1760" s="429">
        <v>0</v>
      </c>
      <c r="D1760" s="429">
        <v>157.5</v>
      </c>
      <c r="E1760" s="431">
        <v>4.4800000000000004</v>
      </c>
      <c r="F1760" s="431">
        <v>5.58</v>
      </c>
      <c r="G1760" s="431">
        <v>6.74</v>
      </c>
      <c r="H1760" s="431">
        <v>7.24</v>
      </c>
      <c r="I1760" s="431">
        <v>7.62</v>
      </c>
      <c r="J1760" s="431">
        <v>6.55</v>
      </c>
      <c r="K1760" s="431">
        <v>5.83</v>
      </c>
      <c r="L1760" s="431">
        <v>5.64</v>
      </c>
      <c r="M1760" s="431">
        <v>5.25</v>
      </c>
      <c r="N1760" s="431">
        <v>5.38</v>
      </c>
      <c r="O1760" s="431">
        <v>5.0199999999999996</v>
      </c>
      <c r="P1760" s="431">
        <v>4.2699999999999996</v>
      </c>
      <c r="Q1760" s="179">
        <f t="shared" si="53"/>
        <v>5.8</v>
      </c>
      <c r="R1760" s="179" t="s">
        <v>994</v>
      </c>
    </row>
    <row r="1761" spans="1:18" x14ac:dyDescent="0.15">
      <c r="A1761" s="179" t="str">
        <f t="shared" si="52"/>
        <v>Tepic (PV)_Flat Surface_180</v>
      </c>
      <c r="B1761" s="429" t="s">
        <v>864</v>
      </c>
      <c r="C1761" s="429">
        <v>0</v>
      </c>
      <c r="D1761" s="429">
        <v>180</v>
      </c>
      <c r="E1761" s="431">
        <v>4.4800000000000004</v>
      </c>
      <c r="F1761" s="431">
        <v>5.58</v>
      </c>
      <c r="G1761" s="431">
        <v>6.74</v>
      </c>
      <c r="H1761" s="431">
        <v>7.24</v>
      </c>
      <c r="I1761" s="431">
        <v>7.62</v>
      </c>
      <c r="J1761" s="431">
        <v>6.55</v>
      </c>
      <c r="K1761" s="431">
        <v>5.83</v>
      </c>
      <c r="L1761" s="431">
        <v>5.64</v>
      </c>
      <c r="M1761" s="431">
        <v>5.25</v>
      </c>
      <c r="N1761" s="431">
        <v>5.38</v>
      </c>
      <c r="O1761" s="431">
        <v>5.0199999999999996</v>
      </c>
      <c r="P1761" s="431">
        <v>4.2699999999999996</v>
      </c>
      <c r="Q1761" s="179">
        <f t="shared" si="53"/>
        <v>5.8</v>
      </c>
      <c r="R1761" s="179" t="s">
        <v>994</v>
      </c>
    </row>
    <row r="1762" spans="1:18" x14ac:dyDescent="0.15">
      <c r="A1762" s="179" t="str">
        <f t="shared" si="52"/>
        <v>Tepic (PV)_Flat Surface_202.5</v>
      </c>
      <c r="B1762" s="429" t="s">
        <v>864</v>
      </c>
      <c r="C1762" s="429">
        <v>0</v>
      </c>
      <c r="D1762" s="429">
        <v>202.5</v>
      </c>
      <c r="E1762" s="431">
        <v>4.4800000000000004</v>
      </c>
      <c r="F1762" s="431">
        <v>5.58</v>
      </c>
      <c r="G1762" s="431">
        <v>6.74</v>
      </c>
      <c r="H1762" s="431">
        <v>7.24</v>
      </c>
      <c r="I1762" s="431">
        <v>7.62</v>
      </c>
      <c r="J1762" s="431">
        <v>6.55</v>
      </c>
      <c r="K1762" s="431">
        <v>5.83</v>
      </c>
      <c r="L1762" s="431">
        <v>5.64</v>
      </c>
      <c r="M1762" s="431">
        <v>5.25</v>
      </c>
      <c r="N1762" s="431">
        <v>5.38</v>
      </c>
      <c r="O1762" s="431">
        <v>5.0199999999999996</v>
      </c>
      <c r="P1762" s="431">
        <v>4.2699999999999996</v>
      </c>
      <c r="Q1762" s="179">
        <f t="shared" si="53"/>
        <v>5.8</v>
      </c>
      <c r="R1762" s="179" t="s">
        <v>994</v>
      </c>
    </row>
    <row r="1763" spans="1:18" x14ac:dyDescent="0.15">
      <c r="A1763" s="179" t="str">
        <f t="shared" si="52"/>
        <v>Tepic (PV)_Flat Surface_225</v>
      </c>
      <c r="B1763" s="429" t="s">
        <v>864</v>
      </c>
      <c r="C1763" s="429">
        <v>0</v>
      </c>
      <c r="D1763" s="429">
        <v>225</v>
      </c>
      <c r="E1763" s="431">
        <v>4.4800000000000004</v>
      </c>
      <c r="F1763" s="431">
        <v>5.58</v>
      </c>
      <c r="G1763" s="431">
        <v>6.74</v>
      </c>
      <c r="H1763" s="431">
        <v>7.24</v>
      </c>
      <c r="I1763" s="431">
        <v>7.62</v>
      </c>
      <c r="J1763" s="431">
        <v>6.55</v>
      </c>
      <c r="K1763" s="431">
        <v>5.83</v>
      </c>
      <c r="L1763" s="431">
        <v>5.64</v>
      </c>
      <c r="M1763" s="431">
        <v>5.25</v>
      </c>
      <c r="N1763" s="431">
        <v>5.38</v>
      </c>
      <c r="O1763" s="431">
        <v>5.0199999999999996</v>
      </c>
      <c r="P1763" s="431">
        <v>4.2699999999999996</v>
      </c>
      <c r="Q1763" s="179">
        <f t="shared" si="53"/>
        <v>5.8</v>
      </c>
      <c r="R1763" s="179" t="s">
        <v>994</v>
      </c>
    </row>
    <row r="1764" spans="1:18" x14ac:dyDescent="0.15">
      <c r="A1764" s="179" t="str">
        <f t="shared" si="52"/>
        <v>Tepic (PV)_Flat Surface_247.5</v>
      </c>
      <c r="B1764" s="429" t="s">
        <v>864</v>
      </c>
      <c r="C1764" s="429">
        <v>0</v>
      </c>
      <c r="D1764" s="429">
        <v>247.5</v>
      </c>
      <c r="E1764" s="431">
        <v>4.4800000000000004</v>
      </c>
      <c r="F1764" s="431">
        <v>5.58</v>
      </c>
      <c r="G1764" s="431">
        <v>6.74</v>
      </c>
      <c r="H1764" s="431">
        <v>7.24</v>
      </c>
      <c r="I1764" s="431">
        <v>7.62</v>
      </c>
      <c r="J1764" s="431">
        <v>6.55</v>
      </c>
      <c r="K1764" s="431">
        <v>5.83</v>
      </c>
      <c r="L1764" s="431">
        <v>5.64</v>
      </c>
      <c r="M1764" s="431">
        <v>5.25</v>
      </c>
      <c r="N1764" s="431">
        <v>5.38</v>
      </c>
      <c r="O1764" s="431">
        <v>5.0199999999999996</v>
      </c>
      <c r="P1764" s="431">
        <v>4.2699999999999996</v>
      </c>
      <c r="Q1764" s="179">
        <f t="shared" si="53"/>
        <v>5.8</v>
      </c>
      <c r="R1764" s="179" t="s">
        <v>994</v>
      </c>
    </row>
    <row r="1765" spans="1:18" x14ac:dyDescent="0.15">
      <c r="A1765" s="179" t="str">
        <f t="shared" si="52"/>
        <v>Tepic (PV)_Flat Surface_270</v>
      </c>
      <c r="B1765" s="429" t="s">
        <v>864</v>
      </c>
      <c r="C1765" s="429">
        <v>0</v>
      </c>
      <c r="D1765" s="429">
        <v>270</v>
      </c>
      <c r="E1765" s="431">
        <v>4.4800000000000004</v>
      </c>
      <c r="F1765" s="431">
        <v>5.58</v>
      </c>
      <c r="G1765" s="431">
        <v>6.74</v>
      </c>
      <c r="H1765" s="431">
        <v>7.24</v>
      </c>
      <c r="I1765" s="431">
        <v>7.62</v>
      </c>
      <c r="J1765" s="431">
        <v>6.55</v>
      </c>
      <c r="K1765" s="431">
        <v>5.83</v>
      </c>
      <c r="L1765" s="431">
        <v>5.64</v>
      </c>
      <c r="M1765" s="431">
        <v>5.25</v>
      </c>
      <c r="N1765" s="431">
        <v>5.38</v>
      </c>
      <c r="O1765" s="431">
        <v>5.0199999999999996</v>
      </c>
      <c r="P1765" s="431">
        <v>4.2699999999999996</v>
      </c>
      <c r="Q1765" s="179">
        <f t="shared" si="53"/>
        <v>5.8</v>
      </c>
      <c r="R1765" s="179" t="s">
        <v>994</v>
      </c>
    </row>
    <row r="1766" spans="1:18" x14ac:dyDescent="0.15">
      <c r="A1766" s="179" t="str">
        <f t="shared" si="52"/>
        <v>Tepic (PV)_Optimal Summer_90</v>
      </c>
      <c r="B1766" s="429" t="s">
        <v>864</v>
      </c>
      <c r="C1766" s="429">
        <v>7</v>
      </c>
      <c r="D1766" s="429">
        <v>90</v>
      </c>
      <c r="E1766" s="431">
        <v>3.87</v>
      </c>
      <c r="F1766" s="431">
        <v>4.74</v>
      </c>
      <c r="G1766" s="431">
        <v>5.58</v>
      </c>
      <c r="H1766" s="431">
        <v>5.84</v>
      </c>
      <c r="I1766" s="431">
        <v>6.02</v>
      </c>
      <c r="J1766" s="431">
        <v>5.29</v>
      </c>
      <c r="K1766" s="431">
        <v>4.5999999999999996</v>
      </c>
      <c r="L1766" s="431">
        <v>4.51</v>
      </c>
      <c r="M1766" s="431">
        <v>4.28</v>
      </c>
      <c r="N1766" s="431">
        <v>4.51</v>
      </c>
      <c r="O1766" s="431">
        <v>4.3499999999999996</v>
      </c>
      <c r="P1766" s="431">
        <v>3.71</v>
      </c>
      <c r="Q1766" s="179">
        <f t="shared" si="53"/>
        <v>4.7749999999999995</v>
      </c>
      <c r="R1766" s="179" t="s">
        <v>958</v>
      </c>
    </row>
    <row r="1767" spans="1:18" x14ac:dyDescent="0.15">
      <c r="A1767" s="179" t="str">
        <f t="shared" si="52"/>
        <v>Tepic (PV)_Optimal Summer_112.5</v>
      </c>
      <c r="B1767" s="429" t="s">
        <v>864</v>
      </c>
      <c r="C1767" s="429">
        <v>7</v>
      </c>
      <c r="D1767" s="429">
        <v>112.5</v>
      </c>
      <c r="E1767" s="431">
        <v>4.24</v>
      </c>
      <c r="F1767" s="431">
        <v>5.19</v>
      </c>
      <c r="G1767" s="431">
        <v>6.11</v>
      </c>
      <c r="H1767" s="431">
        <v>6.39</v>
      </c>
      <c r="I1767" s="431">
        <v>6.58</v>
      </c>
      <c r="J1767" s="431">
        <v>5.78</v>
      </c>
      <c r="K1767" s="431">
        <v>5.03</v>
      </c>
      <c r="L1767" s="431">
        <v>4.9400000000000004</v>
      </c>
      <c r="M1767" s="431">
        <v>4.68</v>
      </c>
      <c r="N1767" s="431">
        <v>4.9400000000000004</v>
      </c>
      <c r="O1767" s="431">
        <v>4.76</v>
      </c>
      <c r="P1767" s="431">
        <v>4.0599999999999996</v>
      </c>
      <c r="Q1767" s="179">
        <f t="shared" si="53"/>
        <v>5.2249999999999996</v>
      </c>
      <c r="R1767" s="179" t="s">
        <v>958</v>
      </c>
    </row>
    <row r="1768" spans="1:18" x14ac:dyDescent="0.15">
      <c r="A1768" s="179" t="str">
        <f t="shared" si="52"/>
        <v>Tepic (PV)_Optimal Summer_135</v>
      </c>
      <c r="B1768" s="429" t="s">
        <v>864</v>
      </c>
      <c r="C1768" s="429">
        <v>7</v>
      </c>
      <c r="D1768" s="429">
        <v>135</v>
      </c>
      <c r="E1768" s="431">
        <v>4.5999999999999996</v>
      </c>
      <c r="F1768" s="431">
        <v>5.63</v>
      </c>
      <c r="G1768" s="431">
        <v>6.63</v>
      </c>
      <c r="H1768" s="431">
        <v>6.94</v>
      </c>
      <c r="I1768" s="431">
        <v>7.14</v>
      </c>
      <c r="J1768" s="431">
        <v>6.28</v>
      </c>
      <c r="K1768" s="431">
        <v>5.46</v>
      </c>
      <c r="L1768" s="431">
        <v>5.36</v>
      </c>
      <c r="M1768" s="431">
        <v>5.08</v>
      </c>
      <c r="N1768" s="431">
        <v>5.36</v>
      </c>
      <c r="O1768" s="431">
        <v>5.17</v>
      </c>
      <c r="P1768" s="431">
        <v>4.41</v>
      </c>
      <c r="Q1768" s="179">
        <f t="shared" si="53"/>
        <v>5.6716666666666669</v>
      </c>
      <c r="R1768" s="179" t="s">
        <v>958</v>
      </c>
    </row>
    <row r="1769" spans="1:18" x14ac:dyDescent="0.15">
      <c r="A1769" s="179" t="str">
        <f t="shared" si="52"/>
        <v>Tepic (PV)_Optimal Summer_157.5</v>
      </c>
      <c r="B1769" s="429" t="s">
        <v>864</v>
      </c>
      <c r="C1769" s="429">
        <v>7</v>
      </c>
      <c r="D1769" s="429">
        <v>157.5</v>
      </c>
      <c r="E1769" s="431">
        <v>4.72</v>
      </c>
      <c r="F1769" s="431">
        <v>5.78</v>
      </c>
      <c r="G1769" s="431">
        <v>6.81</v>
      </c>
      <c r="H1769" s="431">
        <v>7.12</v>
      </c>
      <c r="I1769" s="431">
        <v>7.33</v>
      </c>
      <c r="J1769" s="431">
        <v>6.44</v>
      </c>
      <c r="K1769" s="431">
        <v>5.61</v>
      </c>
      <c r="L1769" s="431">
        <v>5.5</v>
      </c>
      <c r="M1769" s="431">
        <v>5.22</v>
      </c>
      <c r="N1769" s="431">
        <v>5.5</v>
      </c>
      <c r="O1769" s="431">
        <v>5.3</v>
      </c>
      <c r="P1769" s="431">
        <v>4.5199999999999996</v>
      </c>
      <c r="Q1769" s="179">
        <f t="shared" si="53"/>
        <v>5.8208333333333329</v>
      </c>
      <c r="R1769" s="179" t="s">
        <v>958</v>
      </c>
    </row>
    <row r="1770" spans="1:18" x14ac:dyDescent="0.15">
      <c r="A1770" s="179" t="str">
        <f t="shared" si="52"/>
        <v>Tepic (PV)_Optimal Summer_180</v>
      </c>
      <c r="B1770" s="429" t="s">
        <v>864</v>
      </c>
      <c r="C1770" s="429">
        <v>7</v>
      </c>
      <c r="D1770" s="429">
        <v>180</v>
      </c>
      <c r="E1770" s="431">
        <v>4.84</v>
      </c>
      <c r="F1770" s="431">
        <v>5.93</v>
      </c>
      <c r="G1770" s="431">
        <v>6.98</v>
      </c>
      <c r="H1770" s="431">
        <v>7.3</v>
      </c>
      <c r="I1770" s="431">
        <v>7.52</v>
      </c>
      <c r="J1770" s="431">
        <v>6.61</v>
      </c>
      <c r="K1770" s="431">
        <v>5.75</v>
      </c>
      <c r="L1770" s="431">
        <v>5.64</v>
      </c>
      <c r="M1770" s="431">
        <v>5.35</v>
      </c>
      <c r="N1770" s="431">
        <v>5.64</v>
      </c>
      <c r="O1770" s="431">
        <v>5.44</v>
      </c>
      <c r="P1770" s="431">
        <v>4.6399999999999997</v>
      </c>
      <c r="Q1770" s="179">
        <f t="shared" si="53"/>
        <v>5.97</v>
      </c>
      <c r="R1770" s="179" t="s">
        <v>958</v>
      </c>
    </row>
    <row r="1771" spans="1:18" x14ac:dyDescent="0.15">
      <c r="A1771" s="179" t="str">
        <f t="shared" si="52"/>
        <v>Tepic (PV)_Optimal Summer_202.5</v>
      </c>
      <c r="B1771" s="429" t="s">
        <v>864</v>
      </c>
      <c r="C1771" s="429">
        <v>7</v>
      </c>
      <c r="D1771" s="429">
        <v>202.5</v>
      </c>
      <c r="E1771" s="431">
        <v>4.72</v>
      </c>
      <c r="F1771" s="431">
        <v>5.78</v>
      </c>
      <c r="G1771" s="431">
        <v>6.81</v>
      </c>
      <c r="H1771" s="431">
        <v>7.12</v>
      </c>
      <c r="I1771" s="431">
        <v>7.33</v>
      </c>
      <c r="J1771" s="431">
        <v>6.44</v>
      </c>
      <c r="K1771" s="431">
        <v>5.61</v>
      </c>
      <c r="L1771" s="431">
        <v>5.5</v>
      </c>
      <c r="M1771" s="431">
        <v>5.22</v>
      </c>
      <c r="N1771" s="431">
        <v>5.5</v>
      </c>
      <c r="O1771" s="431">
        <v>5.3</v>
      </c>
      <c r="P1771" s="431">
        <v>4.5199999999999996</v>
      </c>
      <c r="Q1771" s="179">
        <f t="shared" si="53"/>
        <v>5.8208333333333329</v>
      </c>
      <c r="R1771" s="179" t="s">
        <v>958</v>
      </c>
    </row>
    <row r="1772" spans="1:18" x14ac:dyDescent="0.15">
      <c r="A1772" s="179" t="str">
        <f t="shared" si="52"/>
        <v>Tepic (PV)_Optimal Summer_225</v>
      </c>
      <c r="B1772" s="429" t="s">
        <v>864</v>
      </c>
      <c r="C1772" s="429">
        <v>7</v>
      </c>
      <c r="D1772" s="429">
        <v>225</v>
      </c>
      <c r="E1772" s="431">
        <v>4.5999999999999996</v>
      </c>
      <c r="F1772" s="431">
        <v>5.63</v>
      </c>
      <c r="G1772" s="431">
        <v>6.63</v>
      </c>
      <c r="H1772" s="431">
        <v>6.94</v>
      </c>
      <c r="I1772" s="431">
        <v>7.14</v>
      </c>
      <c r="J1772" s="431">
        <v>6.28</v>
      </c>
      <c r="K1772" s="431">
        <v>5.46</v>
      </c>
      <c r="L1772" s="431">
        <v>5.36</v>
      </c>
      <c r="M1772" s="431">
        <v>5.08</v>
      </c>
      <c r="N1772" s="431">
        <v>5.36</v>
      </c>
      <c r="O1772" s="431">
        <v>5.17</v>
      </c>
      <c r="P1772" s="431">
        <v>4.41</v>
      </c>
      <c r="Q1772" s="179">
        <f t="shared" si="53"/>
        <v>5.6716666666666669</v>
      </c>
      <c r="R1772" s="179" t="s">
        <v>958</v>
      </c>
    </row>
    <row r="1773" spans="1:18" x14ac:dyDescent="0.15">
      <c r="A1773" s="179" t="str">
        <f t="shared" si="52"/>
        <v>Tepic (PV)_Optimal Summer_247.5</v>
      </c>
      <c r="B1773" s="429" t="s">
        <v>864</v>
      </c>
      <c r="C1773" s="429">
        <v>7</v>
      </c>
      <c r="D1773" s="429">
        <v>247.5</v>
      </c>
      <c r="E1773" s="429">
        <v>4.24</v>
      </c>
      <c r="F1773" s="429">
        <v>5.19</v>
      </c>
      <c r="G1773" s="429">
        <v>6.11</v>
      </c>
      <c r="H1773" s="429">
        <v>6.39</v>
      </c>
      <c r="I1773" s="429">
        <v>6.58</v>
      </c>
      <c r="J1773" s="429">
        <v>5.78</v>
      </c>
      <c r="K1773" s="429">
        <v>5.03</v>
      </c>
      <c r="L1773" s="429">
        <v>4.9400000000000004</v>
      </c>
      <c r="M1773" s="429">
        <v>4.68</v>
      </c>
      <c r="N1773" s="429">
        <v>4.9400000000000004</v>
      </c>
      <c r="O1773" s="429">
        <v>4.76</v>
      </c>
      <c r="P1773" s="429">
        <v>4.0599999999999996</v>
      </c>
      <c r="Q1773" s="179">
        <f t="shared" si="53"/>
        <v>5.2249999999999996</v>
      </c>
      <c r="R1773" s="179" t="s">
        <v>958</v>
      </c>
    </row>
    <row r="1774" spans="1:18" x14ac:dyDescent="0.15">
      <c r="A1774" s="179" t="str">
        <f t="shared" si="52"/>
        <v>Tepic (PV)_Optimal Summer_270</v>
      </c>
      <c r="B1774" s="429" t="s">
        <v>864</v>
      </c>
      <c r="C1774" s="429">
        <v>7</v>
      </c>
      <c r="D1774" s="429">
        <v>270</v>
      </c>
      <c r="E1774" s="429">
        <v>3.87</v>
      </c>
      <c r="F1774" s="429">
        <v>4.74</v>
      </c>
      <c r="G1774" s="429">
        <v>5.58</v>
      </c>
      <c r="H1774" s="429">
        <v>5.84</v>
      </c>
      <c r="I1774" s="429">
        <v>6.02</v>
      </c>
      <c r="J1774" s="429">
        <v>5.29</v>
      </c>
      <c r="K1774" s="429">
        <v>4.5999999999999996</v>
      </c>
      <c r="L1774" s="429">
        <v>4.51</v>
      </c>
      <c r="M1774" s="429">
        <v>4.28</v>
      </c>
      <c r="N1774" s="429">
        <v>4.51</v>
      </c>
      <c r="O1774" s="429">
        <v>4.3499999999999996</v>
      </c>
      <c r="P1774" s="429">
        <v>3.71</v>
      </c>
      <c r="Q1774" s="179">
        <f t="shared" si="53"/>
        <v>4.7749999999999995</v>
      </c>
      <c r="R1774" s="179" t="s">
        <v>958</v>
      </c>
    </row>
    <row r="1775" spans="1:18" x14ac:dyDescent="0.15">
      <c r="A1775" s="179" t="str">
        <f t="shared" si="52"/>
        <v>Tepic (PV)_Optimal Year Round_90</v>
      </c>
      <c r="B1775" s="429" t="s">
        <v>864</v>
      </c>
      <c r="C1775" s="429">
        <v>22</v>
      </c>
      <c r="D1775" s="429">
        <v>90</v>
      </c>
      <c r="E1775" s="431">
        <v>4.45</v>
      </c>
      <c r="F1775" s="431">
        <v>5.25</v>
      </c>
      <c r="G1775" s="431">
        <v>5.83</v>
      </c>
      <c r="H1775" s="431">
        <v>5.74</v>
      </c>
      <c r="I1775" s="431">
        <v>5.59</v>
      </c>
      <c r="J1775" s="431">
        <v>5.23</v>
      </c>
      <c r="K1775" s="431">
        <v>4.3</v>
      </c>
      <c r="L1775" s="431">
        <v>4.3600000000000003</v>
      </c>
      <c r="M1775" s="431">
        <v>4.32</v>
      </c>
      <c r="N1775" s="431">
        <v>4.8600000000000003</v>
      </c>
      <c r="O1775" s="431">
        <v>5.01</v>
      </c>
      <c r="P1775" s="431">
        <v>4.32</v>
      </c>
      <c r="Q1775" s="179">
        <f t="shared" si="53"/>
        <v>4.9383333333333335</v>
      </c>
      <c r="R1775" s="179" t="s">
        <v>993</v>
      </c>
    </row>
    <row r="1776" spans="1:18" x14ac:dyDescent="0.15">
      <c r="A1776" s="179" t="str">
        <f t="shared" si="52"/>
        <v>Tepic (PV)_Optimal Year Round_112.5</v>
      </c>
      <c r="B1776" s="429" t="s">
        <v>864</v>
      </c>
      <c r="C1776" s="429">
        <v>22</v>
      </c>
      <c r="D1776" s="429">
        <v>112.5</v>
      </c>
      <c r="E1776" s="431">
        <v>4.8600000000000003</v>
      </c>
      <c r="F1776" s="431">
        <v>5.74</v>
      </c>
      <c r="G1776" s="431">
        <v>6.38</v>
      </c>
      <c r="H1776" s="431">
        <v>6.27</v>
      </c>
      <c r="I1776" s="431">
        <v>6.12</v>
      </c>
      <c r="J1776" s="431">
        <v>5.72</v>
      </c>
      <c r="K1776" s="431">
        <v>4.7</v>
      </c>
      <c r="L1776" s="431">
        <v>4.7699999999999996</v>
      </c>
      <c r="M1776" s="431">
        <v>4.72</v>
      </c>
      <c r="N1776" s="431">
        <v>5.31</v>
      </c>
      <c r="O1776" s="431">
        <v>5.48</v>
      </c>
      <c r="P1776" s="431">
        <v>4.72</v>
      </c>
      <c r="Q1776" s="179">
        <f t="shared" si="53"/>
        <v>5.3991666666666669</v>
      </c>
      <c r="R1776" s="179" t="s">
        <v>993</v>
      </c>
    </row>
    <row r="1777" spans="1:18" x14ac:dyDescent="0.15">
      <c r="A1777" s="179" t="str">
        <f t="shared" si="52"/>
        <v>Tepic (PV)_Optimal Year Round_135</v>
      </c>
      <c r="B1777" s="429" t="s">
        <v>864</v>
      </c>
      <c r="C1777" s="429">
        <v>22</v>
      </c>
      <c r="D1777" s="429">
        <v>135</v>
      </c>
      <c r="E1777" s="431">
        <v>5.28</v>
      </c>
      <c r="F1777" s="431">
        <v>6.23</v>
      </c>
      <c r="G1777" s="431">
        <v>6.93</v>
      </c>
      <c r="H1777" s="431">
        <v>6.81</v>
      </c>
      <c r="I1777" s="431">
        <v>6.64</v>
      </c>
      <c r="J1777" s="431">
        <v>6.21</v>
      </c>
      <c r="K1777" s="431">
        <v>5.0999999999999996</v>
      </c>
      <c r="L1777" s="431">
        <v>5.18</v>
      </c>
      <c r="M1777" s="431">
        <v>5.13</v>
      </c>
      <c r="N1777" s="431">
        <v>5.77</v>
      </c>
      <c r="O1777" s="431">
        <v>5.95</v>
      </c>
      <c r="P1777" s="431">
        <v>5.13</v>
      </c>
      <c r="Q1777" s="179">
        <f t="shared" si="53"/>
        <v>5.8633333333333333</v>
      </c>
      <c r="R1777" s="179" t="s">
        <v>993</v>
      </c>
    </row>
    <row r="1778" spans="1:18" x14ac:dyDescent="0.15">
      <c r="A1778" s="179" t="str">
        <f t="shared" si="52"/>
        <v>Tepic (PV)_Optimal Year Round_157.5</v>
      </c>
      <c r="B1778" s="429" t="s">
        <v>864</v>
      </c>
      <c r="C1778" s="429">
        <v>22</v>
      </c>
      <c r="D1778" s="429">
        <v>157.5</v>
      </c>
      <c r="E1778" s="431">
        <v>5.42</v>
      </c>
      <c r="F1778" s="431">
        <v>6.4</v>
      </c>
      <c r="G1778" s="431">
        <v>7.11</v>
      </c>
      <c r="H1778" s="431">
        <v>6.99</v>
      </c>
      <c r="I1778" s="431">
        <v>6.82</v>
      </c>
      <c r="J1778" s="431">
        <v>6.38</v>
      </c>
      <c r="K1778" s="431">
        <v>5.24</v>
      </c>
      <c r="L1778" s="431">
        <v>5.31</v>
      </c>
      <c r="M1778" s="431">
        <v>5.26</v>
      </c>
      <c r="N1778" s="431">
        <v>5.92</v>
      </c>
      <c r="O1778" s="431">
        <v>6.1</v>
      </c>
      <c r="P1778" s="431">
        <v>5.26</v>
      </c>
      <c r="Q1778" s="179">
        <f t="shared" si="53"/>
        <v>6.017500000000001</v>
      </c>
      <c r="R1778" s="179" t="s">
        <v>993</v>
      </c>
    </row>
    <row r="1779" spans="1:18" x14ac:dyDescent="0.15">
      <c r="A1779" s="179" t="str">
        <f t="shared" si="52"/>
        <v>Tepic (PV)_Optimal Year Round_180</v>
      </c>
      <c r="B1779" s="429" t="s">
        <v>864</v>
      </c>
      <c r="C1779" s="429">
        <v>22</v>
      </c>
      <c r="D1779" s="429">
        <v>180</v>
      </c>
      <c r="E1779" s="431">
        <v>5.56</v>
      </c>
      <c r="F1779" s="431">
        <v>6.56</v>
      </c>
      <c r="G1779" s="431">
        <v>7.29</v>
      </c>
      <c r="H1779" s="431">
        <v>7.17</v>
      </c>
      <c r="I1779" s="431">
        <v>6.99</v>
      </c>
      <c r="J1779" s="431">
        <v>6.54</v>
      </c>
      <c r="K1779" s="431">
        <v>5.37</v>
      </c>
      <c r="L1779" s="431">
        <v>5.45</v>
      </c>
      <c r="M1779" s="431">
        <v>5.4</v>
      </c>
      <c r="N1779" s="431">
        <v>6.07</v>
      </c>
      <c r="O1779" s="431">
        <v>6.26</v>
      </c>
      <c r="P1779" s="431">
        <v>5.4</v>
      </c>
      <c r="Q1779" s="179">
        <f t="shared" si="53"/>
        <v>6.1716666666666669</v>
      </c>
      <c r="R1779" s="179" t="s">
        <v>993</v>
      </c>
    </row>
    <row r="1780" spans="1:18" x14ac:dyDescent="0.15">
      <c r="A1780" s="179" t="str">
        <f t="shared" si="52"/>
        <v>Tepic (PV)_Optimal Year Round_202.5</v>
      </c>
      <c r="B1780" s="429" t="s">
        <v>864</v>
      </c>
      <c r="C1780" s="429">
        <v>22</v>
      </c>
      <c r="D1780" s="429">
        <v>202.5</v>
      </c>
      <c r="E1780" s="431">
        <v>5.42</v>
      </c>
      <c r="F1780" s="431">
        <v>6.4</v>
      </c>
      <c r="G1780" s="431">
        <v>7.11</v>
      </c>
      <c r="H1780" s="431">
        <v>6.99</v>
      </c>
      <c r="I1780" s="431">
        <v>6.82</v>
      </c>
      <c r="J1780" s="431">
        <v>6.38</v>
      </c>
      <c r="K1780" s="431">
        <v>5.24</v>
      </c>
      <c r="L1780" s="431">
        <v>5.31</v>
      </c>
      <c r="M1780" s="431">
        <v>5.26</v>
      </c>
      <c r="N1780" s="431">
        <v>5.92</v>
      </c>
      <c r="O1780" s="431">
        <v>6.1</v>
      </c>
      <c r="P1780" s="431">
        <v>5.26</v>
      </c>
      <c r="Q1780" s="179">
        <f t="shared" si="53"/>
        <v>6.017500000000001</v>
      </c>
      <c r="R1780" s="179" t="s">
        <v>993</v>
      </c>
    </row>
    <row r="1781" spans="1:18" x14ac:dyDescent="0.15">
      <c r="A1781" s="179" t="str">
        <f t="shared" si="52"/>
        <v>Tepic (PV)_Optimal Year Round_225</v>
      </c>
      <c r="B1781" s="429" t="s">
        <v>864</v>
      </c>
      <c r="C1781" s="429">
        <v>22</v>
      </c>
      <c r="D1781" s="429">
        <v>225</v>
      </c>
      <c r="E1781" s="429">
        <v>5.28</v>
      </c>
      <c r="F1781" s="429">
        <v>6.23</v>
      </c>
      <c r="G1781" s="429">
        <v>6.93</v>
      </c>
      <c r="H1781" s="429">
        <v>6.81</v>
      </c>
      <c r="I1781" s="429">
        <v>6.64</v>
      </c>
      <c r="J1781" s="429">
        <v>6.21</v>
      </c>
      <c r="K1781" s="429">
        <v>5.0999999999999996</v>
      </c>
      <c r="L1781" s="429">
        <v>5.18</v>
      </c>
      <c r="M1781" s="429">
        <v>5.13</v>
      </c>
      <c r="N1781" s="429">
        <v>5.77</v>
      </c>
      <c r="O1781" s="429">
        <v>5.95</v>
      </c>
      <c r="P1781" s="429">
        <v>5.13</v>
      </c>
      <c r="Q1781" s="179">
        <f t="shared" si="53"/>
        <v>5.8633333333333333</v>
      </c>
      <c r="R1781" s="179" t="s">
        <v>993</v>
      </c>
    </row>
    <row r="1782" spans="1:18" x14ac:dyDescent="0.15">
      <c r="A1782" s="179" t="str">
        <f t="shared" si="52"/>
        <v>Tepic (PV)_Optimal Year Round_247.5</v>
      </c>
      <c r="B1782" s="429" t="s">
        <v>864</v>
      </c>
      <c r="C1782" s="429">
        <v>22</v>
      </c>
      <c r="D1782" s="429">
        <v>247.5</v>
      </c>
      <c r="E1782" s="429">
        <v>4.8600000000000003</v>
      </c>
      <c r="F1782" s="429">
        <v>5.74</v>
      </c>
      <c r="G1782" s="429">
        <v>6.38</v>
      </c>
      <c r="H1782" s="429">
        <v>6.27</v>
      </c>
      <c r="I1782" s="429">
        <v>6.12</v>
      </c>
      <c r="J1782" s="429">
        <v>5.72</v>
      </c>
      <c r="K1782" s="429">
        <v>4.7</v>
      </c>
      <c r="L1782" s="429">
        <v>4.7699999999999996</v>
      </c>
      <c r="M1782" s="429">
        <v>4.72</v>
      </c>
      <c r="N1782" s="429">
        <v>5.31</v>
      </c>
      <c r="O1782" s="429">
        <v>5.48</v>
      </c>
      <c r="P1782" s="429">
        <v>4.72</v>
      </c>
      <c r="Q1782" s="179">
        <f t="shared" si="53"/>
        <v>5.3991666666666669</v>
      </c>
      <c r="R1782" s="179" t="s">
        <v>993</v>
      </c>
    </row>
    <row r="1783" spans="1:18" x14ac:dyDescent="0.15">
      <c r="A1783" s="179" t="str">
        <f t="shared" si="52"/>
        <v>Tepic (PV)_Optimal Year Round_270</v>
      </c>
      <c r="B1783" s="429" t="s">
        <v>864</v>
      </c>
      <c r="C1783" s="429">
        <v>22</v>
      </c>
      <c r="D1783" s="429">
        <v>270</v>
      </c>
      <c r="E1783" s="429">
        <v>4.45</v>
      </c>
      <c r="F1783" s="429">
        <v>5.25</v>
      </c>
      <c r="G1783" s="429">
        <v>5.83</v>
      </c>
      <c r="H1783" s="429">
        <v>5.74</v>
      </c>
      <c r="I1783" s="429">
        <v>5.59</v>
      </c>
      <c r="J1783" s="429">
        <v>5.23</v>
      </c>
      <c r="K1783" s="429">
        <v>4.3</v>
      </c>
      <c r="L1783" s="429">
        <v>4.3600000000000003</v>
      </c>
      <c r="M1783" s="429">
        <v>4.32</v>
      </c>
      <c r="N1783" s="429">
        <v>4.8600000000000003</v>
      </c>
      <c r="O1783" s="429">
        <v>5.01</v>
      </c>
      <c r="P1783" s="429">
        <v>4.32</v>
      </c>
      <c r="Q1783" s="179">
        <f t="shared" si="53"/>
        <v>4.9383333333333335</v>
      </c>
      <c r="R1783" s="179" t="s">
        <v>993</v>
      </c>
    </row>
    <row r="1784" spans="1:18" x14ac:dyDescent="0.15">
      <c r="A1784" s="179" t="str">
        <f t="shared" si="52"/>
        <v>Tijuana_Flat Surface_90</v>
      </c>
      <c r="B1784" s="179" t="s">
        <v>865</v>
      </c>
      <c r="C1784" s="179">
        <v>0</v>
      </c>
      <c r="D1784" s="179">
        <v>90</v>
      </c>
      <c r="E1784" s="179">
        <v>3.18</v>
      </c>
      <c r="F1784" s="179">
        <v>3.99</v>
      </c>
      <c r="G1784" s="179">
        <v>5.13</v>
      </c>
      <c r="H1784" s="179">
        <v>6.39</v>
      </c>
      <c r="I1784" s="179">
        <v>6.88</v>
      </c>
      <c r="J1784" s="179">
        <v>7</v>
      </c>
      <c r="K1784" s="179">
        <v>6.89</v>
      </c>
      <c r="L1784" s="179">
        <v>6.43</v>
      </c>
      <c r="M1784" s="179">
        <v>5.47</v>
      </c>
      <c r="N1784" s="179">
        <v>4.3600000000000003</v>
      </c>
      <c r="O1784" s="179">
        <v>3.45</v>
      </c>
      <c r="P1784" s="179">
        <v>2.97</v>
      </c>
      <c r="Q1784" s="179">
        <f t="shared" si="53"/>
        <v>5.1783333333333337</v>
      </c>
      <c r="R1784" s="179" t="s">
        <v>994</v>
      </c>
    </row>
    <row r="1785" spans="1:18" x14ac:dyDescent="0.15">
      <c r="A1785" s="179" t="str">
        <f t="shared" si="52"/>
        <v>Tijuana_Flat Surface_112.5</v>
      </c>
      <c r="B1785" s="179" t="s">
        <v>865</v>
      </c>
      <c r="C1785" s="179">
        <v>0</v>
      </c>
      <c r="D1785" s="179">
        <v>112.5</v>
      </c>
      <c r="E1785" s="179">
        <v>3.18</v>
      </c>
      <c r="F1785" s="179">
        <v>3.99</v>
      </c>
      <c r="G1785" s="179">
        <v>5.13</v>
      </c>
      <c r="H1785" s="179">
        <v>6.39</v>
      </c>
      <c r="I1785" s="179">
        <v>6.88</v>
      </c>
      <c r="J1785" s="179">
        <v>7</v>
      </c>
      <c r="K1785" s="179">
        <v>6.89</v>
      </c>
      <c r="L1785" s="179">
        <v>6.43</v>
      </c>
      <c r="M1785" s="179">
        <v>5.47</v>
      </c>
      <c r="N1785" s="179">
        <v>4.3600000000000003</v>
      </c>
      <c r="O1785" s="179">
        <v>3.45</v>
      </c>
      <c r="P1785" s="179">
        <v>2.97</v>
      </c>
      <c r="Q1785" s="179">
        <f t="shared" si="53"/>
        <v>5.1783333333333337</v>
      </c>
      <c r="R1785" s="179" t="s">
        <v>994</v>
      </c>
    </row>
    <row r="1786" spans="1:18" x14ac:dyDescent="0.15">
      <c r="A1786" s="179" t="str">
        <f t="shared" si="52"/>
        <v>Tijuana_Flat Surface_135</v>
      </c>
      <c r="B1786" s="179" t="s">
        <v>865</v>
      </c>
      <c r="C1786" s="179">
        <v>0</v>
      </c>
      <c r="D1786" s="179">
        <v>135</v>
      </c>
      <c r="E1786" s="179">
        <v>3.18</v>
      </c>
      <c r="F1786" s="179">
        <v>3.99</v>
      </c>
      <c r="G1786" s="179">
        <v>5.13</v>
      </c>
      <c r="H1786" s="179">
        <v>6.39</v>
      </c>
      <c r="I1786" s="179">
        <v>6.88</v>
      </c>
      <c r="J1786" s="179">
        <v>7</v>
      </c>
      <c r="K1786" s="179">
        <v>6.89</v>
      </c>
      <c r="L1786" s="179">
        <v>6.43</v>
      </c>
      <c r="M1786" s="179">
        <v>5.47</v>
      </c>
      <c r="N1786" s="179">
        <v>4.3600000000000003</v>
      </c>
      <c r="O1786" s="179">
        <v>3.45</v>
      </c>
      <c r="P1786" s="179">
        <v>2.97</v>
      </c>
      <c r="Q1786" s="179">
        <f t="shared" si="53"/>
        <v>5.1783333333333337</v>
      </c>
      <c r="R1786" s="179" t="s">
        <v>994</v>
      </c>
    </row>
    <row r="1787" spans="1:18" x14ac:dyDescent="0.15">
      <c r="A1787" s="179" t="str">
        <f t="shared" si="52"/>
        <v>Tijuana_Flat Surface_157.5</v>
      </c>
      <c r="B1787" s="179" t="s">
        <v>865</v>
      </c>
      <c r="C1787" s="179">
        <v>0</v>
      </c>
      <c r="D1787" s="179">
        <v>157.5</v>
      </c>
      <c r="E1787" s="179">
        <v>3.18</v>
      </c>
      <c r="F1787" s="179">
        <v>3.99</v>
      </c>
      <c r="G1787" s="179">
        <v>5.13</v>
      </c>
      <c r="H1787" s="179">
        <v>6.39</v>
      </c>
      <c r="I1787" s="179">
        <v>6.88</v>
      </c>
      <c r="J1787" s="179">
        <v>7</v>
      </c>
      <c r="K1787" s="179">
        <v>6.89</v>
      </c>
      <c r="L1787" s="179">
        <v>6.43</v>
      </c>
      <c r="M1787" s="179">
        <v>5.47</v>
      </c>
      <c r="N1787" s="179">
        <v>4.3600000000000003</v>
      </c>
      <c r="O1787" s="179">
        <v>3.45</v>
      </c>
      <c r="P1787" s="179">
        <v>2.97</v>
      </c>
      <c r="Q1787" s="179">
        <f t="shared" si="53"/>
        <v>5.1783333333333337</v>
      </c>
      <c r="R1787" s="179" t="s">
        <v>994</v>
      </c>
    </row>
    <row r="1788" spans="1:18" x14ac:dyDescent="0.15">
      <c r="A1788" s="179" t="str">
        <f t="shared" si="52"/>
        <v>Tijuana_Flat Surface_180</v>
      </c>
      <c r="B1788" s="179" t="s">
        <v>865</v>
      </c>
      <c r="C1788" s="179">
        <v>0</v>
      </c>
      <c r="D1788" s="179">
        <v>180</v>
      </c>
      <c r="E1788" s="179">
        <v>3.18</v>
      </c>
      <c r="F1788" s="179">
        <v>3.99</v>
      </c>
      <c r="G1788" s="179">
        <v>5.13</v>
      </c>
      <c r="H1788" s="179">
        <v>6.39</v>
      </c>
      <c r="I1788" s="179">
        <v>6.88</v>
      </c>
      <c r="J1788" s="179">
        <v>7</v>
      </c>
      <c r="K1788" s="179">
        <v>6.89</v>
      </c>
      <c r="L1788" s="179">
        <v>6.43</v>
      </c>
      <c r="M1788" s="179">
        <v>5.47</v>
      </c>
      <c r="N1788" s="179">
        <v>4.3600000000000003</v>
      </c>
      <c r="O1788" s="179">
        <v>3.45</v>
      </c>
      <c r="P1788" s="179">
        <v>2.97</v>
      </c>
      <c r="Q1788" s="179">
        <f t="shared" si="53"/>
        <v>5.1783333333333337</v>
      </c>
      <c r="R1788" s="179" t="s">
        <v>994</v>
      </c>
    </row>
    <row r="1789" spans="1:18" x14ac:dyDescent="0.15">
      <c r="A1789" s="179" t="str">
        <f t="shared" si="52"/>
        <v>Tijuana_Flat Surface_202.5</v>
      </c>
      <c r="B1789" s="179" t="s">
        <v>865</v>
      </c>
      <c r="C1789" s="179">
        <v>0</v>
      </c>
      <c r="D1789" s="179">
        <v>202.5</v>
      </c>
      <c r="E1789" s="179">
        <v>3.18</v>
      </c>
      <c r="F1789" s="179">
        <v>3.99</v>
      </c>
      <c r="G1789" s="179">
        <v>5.13</v>
      </c>
      <c r="H1789" s="179">
        <v>6.39</v>
      </c>
      <c r="I1789" s="179">
        <v>6.88</v>
      </c>
      <c r="J1789" s="179">
        <v>7</v>
      </c>
      <c r="K1789" s="179">
        <v>6.89</v>
      </c>
      <c r="L1789" s="179">
        <v>6.43</v>
      </c>
      <c r="M1789" s="179">
        <v>5.47</v>
      </c>
      <c r="N1789" s="179">
        <v>4.3600000000000003</v>
      </c>
      <c r="O1789" s="179">
        <v>3.45</v>
      </c>
      <c r="P1789" s="179">
        <v>2.97</v>
      </c>
      <c r="Q1789" s="179">
        <f t="shared" si="53"/>
        <v>5.1783333333333337</v>
      </c>
      <c r="R1789" s="179" t="s">
        <v>994</v>
      </c>
    </row>
    <row r="1790" spans="1:18" x14ac:dyDescent="0.15">
      <c r="A1790" s="179" t="str">
        <f t="shared" si="52"/>
        <v>Tijuana_Flat Surface_225</v>
      </c>
      <c r="B1790" s="179" t="s">
        <v>865</v>
      </c>
      <c r="C1790" s="179">
        <v>0</v>
      </c>
      <c r="D1790" s="179">
        <v>225</v>
      </c>
      <c r="E1790" s="179">
        <v>3.18</v>
      </c>
      <c r="F1790" s="179">
        <v>3.99</v>
      </c>
      <c r="G1790" s="179">
        <v>5.13</v>
      </c>
      <c r="H1790" s="179">
        <v>6.39</v>
      </c>
      <c r="I1790" s="179">
        <v>6.88</v>
      </c>
      <c r="J1790" s="179">
        <v>7</v>
      </c>
      <c r="K1790" s="179">
        <v>6.89</v>
      </c>
      <c r="L1790" s="179">
        <v>6.43</v>
      </c>
      <c r="M1790" s="179">
        <v>5.47</v>
      </c>
      <c r="N1790" s="179">
        <v>4.3600000000000003</v>
      </c>
      <c r="O1790" s="179">
        <v>3.45</v>
      </c>
      <c r="P1790" s="179">
        <v>2.97</v>
      </c>
      <c r="Q1790" s="179">
        <f t="shared" si="53"/>
        <v>5.1783333333333337</v>
      </c>
      <c r="R1790" s="179" t="s">
        <v>994</v>
      </c>
    </row>
    <row r="1791" spans="1:18" x14ac:dyDescent="0.15">
      <c r="A1791" s="179" t="str">
        <f t="shared" si="52"/>
        <v>Tijuana_Flat Surface_247.5</v>
      </c>
      <c r="B1791" s="179" t="s">
        <v>865</v>
      </c>
      <c r="C1791" s="179">
        <v>0</v>
      </c>
      <c r="D1791" s="179">
        <v>247.5</v>
      </c>
      <c r="E1791" s="179">
        <v>3.18</v>
      </c>
      <c r="F1791" s="179">
        <v>3.99</v>
      </c>
      <c r="G1791" s="179">
        <v>5.13</v>
      </c>
      <c r="H1791" s="179">
        <v>6.39</v>
      </c>
      <c r="I1791" s="179">
        <v>6.88</v>
      </c>
      <c r="J1791" s="179">
        <v>7</v>
      </c>
      <c r="K1791" s="179">
        <v>6.89</v>
      </c>
      <c r="L1791" s="179">
        <v>6.43</v>
      </c>
      <c r="M1791" s="179">
        <v>5.47</v>
      </c>
      <c r="N1791" s="179">
        <v>4.3600000000000003</v>
      </c>
      <c r="O1791" s="179">
        <v>3.45</v>
      </c>
      <c r="P1791" s="179">
        <v>2.97</v>
      </c>
      <c r="Q1791" s="179">
        <f t="shared" si="53"/>
        <v>5.1783333333333337</v>
      </c>
      <c r="R1791" s="179" t="s">
        <v>994</v>
      </c>
    </row>
    <row r="1792" spans="1:18" x14ac:dyDescent="0.15">
      <c r="A1792" s="179" t="str">
        <f t="shared" si="52"/>
        <v>Tijuana_Flat Surface_270</v>
      </c>
      <c r="B1792" s="179" t="s">
        <v>865</v>
      </c>
      <c r="C1792" s="179">
        <v>0</v>
      </c>
      <c r="D1792" s="179">
        <v>270</v>
      </c>
      <c r="E1792" s="179">
        <v>3.18</v>
      </c>
      <c r="F1792" s="179">
        <v>3.99</v>
      </c>
      <c r="G1792" s="179">
        <v>5.13</v>
      </c>
      <c r="H1792" s="179">
        <v>6.39</v>
      </c>
      <c r="I1792" s="179">
        <v>6.88</v>
      </c>
      <c r="J1792" s="179">
        <v>7</v>
      </c>
      <c r="K1792" s="179">
        <v>6.89</v>
      </c>
      <c r="L1792" s="179">
        <v>6.43</v>
      </c>
      <c r="M1792" s="179">
        <v>5.47</v>
      </c>
      <c r="N1792" s="179">
        <v>4.3600000000000003</v>
      </c>
      <c r="O1792" s="179">
        <v>3.45</v>
      </c>
      <c r="P1792" s="179">
        <v>2.97</v>
      </c>
      <c r="Q1792" s="179">
        <f t="shared" si="53"/>
        <v>5.1783333333333337</v>
      </c>
      <c r="R1792" s="179" t="s">
        <v>994</v>
      </c>
    </row>
    <row r="1793" spans="1:18" x14ac:dyDescent="0.15">
      <c r="A1793" s="179" t="str">
        <f t="shared" si="52"/>
        <v>Tijuana_Optimal Summer_90</v>
      </c>
      <c r="B1793" s="179" t="s">
        <v>865</v>
      </c>
      <c r="C1793" s="179">
        <v>17</v>
      </c>
      <c r="D1793" s="179">
        <v>90</v>
      </c>
      <c r="E1793" s="179">
        <v>3.31</v>
      </c>
      <c r="F1793" s="179">
        <v>3.86</v>
      </c>
      <c r="G1793" s="179">
        <v>4.58</v>
      </c>
      <c r="H1793" s="179">
        <v>5.34</v>
      </c>
      <c r="I1793" s="179">
        <v>5.42</v>
      </c>
      <c r="J1793" s="179">
        <v>5.4</v>
      </c>
      <c r="K1793" s="179">
        <v>5.37</v>
      </c>
      <c r="L1793" s="179">
        <v>5.21</v>
      </c>
      <c r="M1793" s="179">
        <v>4.74</v>
      </c>
      <c r="N1793" s="179">
        <v>4.0999999999999996</v>
      </c>
      <c r="O1793" s="179">
        <v>3.53</v>
      </c>
      <c r="P1793" s="179">
        <v>3.18</v>
      </c>
      <c r="Q1793" s="179">
        <f t="shared" si="53"/>
        <v>4.503333333333333</v>
      </c>
      <c r="R1793" s="179" t="s">
        <v>958</v>
      </c>
    </row>
    <row r="1794" spans="1:18" x14ac:dyDescent="0.15">
      <c r="A1794" s="179" t="str">
        <f t="shared" ref="A1794:A1857" si="54">B1794&amp;"_"&amp;R1794&amp;"_"&amp;D1794</f>
        <v>Tijuana_Optimal Summer_112.5</v>
      </c>
      <c r="B1794" s="179" t="s">
        <v>865</v>
      </c>
      <c r="C1794" s="179">
        <v>17</v>
      </c>
      <c r="D1794" s="179">
        <v>112.5</v>
      </c>
      <c r="E1794" s="179">
        <v>3.62</v>
      </c>
      <c r="F1794" s="179">
        <v>4.2300000000000004</v>
      </c>
      <c r="G1794" s="179">
        <v>5.01</v>
      </c>
      <c r="H1794" s="179">
        <v>5.84</v>
      </c>
      <c r="I1794" s="179">
        <v>5.92</v>
      </c>
      <c r="J1794" s="179">
        <v>5.91</v>
      </c>
      <c r="K1794" s="179">
        <v>5.87</v>
      </c>
      <c r="L1794" s="179">
        <v>5.7</v>
      </c>
      <c r="M1794" s="179">
        <v>5.19</v>
      </c>
      <c r="N1794" s="179">
        <v>4.49</v>
      </c>
      <c r="O1794" s="179">
        <v>3.86</v>
      </c>
      <c r="P1794" s="179">
        <v>3.47</v>
      </c>
      <c r="Q1794" s="179">
        <f t="shared" ref="Q1794:Q1857" si="55">AVERAGE(E1794:P1794)</f>
        <v>4.9258333333333333</v>
      </c>
      <c r="R1794" s="179" t="s">
        <v>958</v>
      </c>
    </row>
    <row r="1795" spans="1:18" x14ac:dyDescent="0.15">
      <c r="A1795" s="179" t="str">
        <f t="shared" si="54"/>
        <v>Tijuana_Optimal Summer_135</v>
      </c>
      <c r="B1795" s="179" t="s">
        <v>865</v>
      </c>
      <c r="C1795" s="179">
        <v>17</v>
      </c>
      <c r="D1795" s="179">
        <v>135</v>
      </c>
      <c r="E1795" s="179">
        <v>3.93</v>
      </c>
      <c r="F1795" s="179">
        <v>4.59</v>
      </c>
      <c r="G1795" s="179">
        <v>5.44</v>
      </c>
      <c r="H1795" s="179">
        <v>6.34</v>
      </c>
      <c r="I1795" s="179">
        <v>6.43</v>
      </c>
      <c r="J1795" s="179">
        <v>6.41</v>
      </c>
      <c r="K1795" s="179">
        <v>6.37</v>
      </c>
      <c r="L1795" s="179">
        <v>6.18</v>
      </c>
      <c r="M1795" s="179">
        <v>5.63</v>
      </c>
      <c r="N1795" s="179">
        <v>4.87</v>
      </c>
      <c r="O1795" s="179">
        <v>4.1900000000000004</v>
      </c>
      <c r="P1795" s="179">
        <v>3.77</v>
      </c>
      <c r="Q1795" s="179">
        <f t="shared" si="55"/>
        <v>5.3458333333333323</v>
      </c>
      <c r="R1795" s="179" t="s">
        <v>958</v>
      </c>
    </row>
    <row r="1796" spans="1:18" x14ac:dyDescent="0.15">
      <c r="A1796" s="179" t="str">
        <f t="shared" si="54"/>
        <v>Tijuana_Optimal Summer_157.5</v>
      </c>
      <c r="B1796" s="179" t="s">
        <v>865</v>
      </c>
      <c r="C1796" s="179">
        <v>17</v>
      </c>
      <c r="D1796" s="179">
        <v>157.5</v>
      </c>
      <c r="E1796" s="179">
        <v>4.04</v>
      </c>
      <c r="F1796" s="179">
        <v>4.71</v>
      </c>
      <c r="G1796" s="179">
        <v>5.59</v>
      </c>
      <c r="H1796" s="179">
        <v>6.5</v>
      </c>
      <c r="I1796" s="179">
        <v>6.6</v>
      </c>
      <c r="J1796" s="179">
        <v>6.58</v>
      </c>
      <c r="K1796" s="179">
        <v>6.54</v>
      </c>
      <c r="L1796" s="179">
        <v>6.35</v>
      </c>
      <c r="M1796" s="179">
        <v>5.78</v>
      </c>
      <c r="N1796" s="179">
        <v>5</v>
      </c>
      <c r="O1796" s="179">
        <v>4.3</v>
      </c>
      <c r="P1796" s="179">
        <v>3.87</v>
      </c>
      <c r="Q1796" s="179">
        <f t="shared" si="55"/>
        <v>5.4883333333333333</v>
      </c>
      <c r="R1796" s="179" t="s">
        <v>958</v>
      </c>
    </row>
    <row r="1797" spans="1:18" x14ac:dyDescent="0.15">
      <c r="A1797" s="179" t="str">
        <f t="shared" si="54"/>
        <v>Tijuana_Optimal Summer_180</v>
      </c>
      <c r="B1797" s="179" t="s">
        <v>865</v>
      </c>
      <c r="C1797" s="179">
        <v>17</v>
      </c>
      <c r="D1797" s="179">
        <v>180</v>
      </c>
      <c r="E1797" s="179">
        <v>4.1399999999999997</v>
      </c>
      <c r="F1797" s="179">
        <v>4.83</v>
      </c>
      <c r="G1797" s="179">
        <v>5.73</v>
      </c>
      <c r="H1797" s="179">
        <v>6.67</v>
      </c>
      <c r="I1797" s="179">
        <v>6.77</v>
      </c>
      <c r="J1797" s="179">
        <v>6.75</v>
      </c>
      <c r="K1797" s="179">
        <v>6.71</v>
      </c>
      <c r="L1797" s="179">
        <v>6.51</v>
      </c>
      <c r="M1797" s="179">
        <v>5.93</v>
      </c>
      <c r="N1797" s="179">
        <v>5.13</v>
      </c>
      <c r="O1797" s="179">
        <v>4.41</v>
      </c>
      <c r="P1797" s="179">
        <v>3.97</v>
      </c>
      <c r="Q1797" s="179">
        <f t="shared" si="55"/>
        <v>5.6291666666666664</v>
      </c>
      <c r="R1797" s="179" t="s">
        <v>958</v>
      </c>
    </row>
    <row r="1798" spans="1:18" x14ac:dyDescent="0.15">
      <c r="A1798" s="179" t="str">
        <f t="shared" si="54"/>
        <v>Tijuana_Optimal Summer_202.5</v>
      </c>
      <c r="B1798" s="179" t="s">
        <v>865</v>
      </c>
      <c r="C1798" s="179">
        <v>17</v>
      </c>
      <c r="D1798" s="179">
        <v>202.5</v>
      </c>
      <c r="E1798" s="179">
        <v>4.04</v>
      </c>
      <c r="F1798" s="179">
        <v>4.71</v>
      </c>
      <c r="G1798" s="179">
        <v>5.59</v>
      </c>
      <c r="H1798" s="179">
        <v>6.5</v>
      </c>
      <c r="I1798" s="179">
        <v>6.6</v>
      </c>
      <c r="J1798" s="179">
        <v>6.58</v>
      </c>
      <c r="K1798" s="179">
        <v>6.54</v>
      </c>
      <c r="L1798" s="179">
        <v>6.35</v>
      </c>
      <c r="M1798" s="179">
        <v>5.78</v>
      </c>
      <c r="N1798" s="179">
        <v>5</v>
      </c>
      <c r="O1798" s="179">
        <v>4.3</v>
      </c>
      <c r="P1798" s="179">
        <v>3.87</v>
      </c>
      <c r="Q1798" s="179">
        <f t="shared" si="55"/>
        <v>5.4883333333333333</v>
      </c>
      <c r="R1798" s="179" t="s">
        <v>958</v>
      </c>
    </row>
    <row r="1799" spans="1:18" x14ac:dyDescent="0.15">
      <c r="A1799" s="179" t="str">
        <f t="shared" si="54"/>
        <v>Tijuana_Optimal Summer_225</v>
      </c>
      <c r="B1799" s="179" t="s">
        <v>865</v>
      </c>
      <c r="C1799" s="179">
        <v>17</v>
      </c>
      <c r="D1799" s="179">
        <v>225</v>
      </c>
      <c r="E1799" s="179">
        <v>3.93</v>
      </c>
      <c r="F1799" s="179">
        <v>4.59</v>
      </c>
      <c r="G1799" s="179">
        <v>5.44</v>
      </c>
      <c r="H1799" s="179">
        <v>6.34</v>
      </c>
      <c r="I1799" s="179">
        <v>6.43</v>
      </c>
      <c r="J1799" s="179">
        <v>6.41</v>
      </c>
      <c r="K1799" s="179">
        <v>6.37</v>
      </c>
      <c r="L1799" s="179">
        <v>6.18</v>
      </c>
      <c r="M1799" s="179">
        <v>5.63</v>
      </c>
      <c r="N1799" s="179">
        <v>4.87</v>
      </c>
      <c r="O1799" s="179">
        <v>4.1900000000000004</v>
      </c>
      <c r="P1799" s="179">
        <v>3.77</v>
      </c>
      <c r="Q1799" s="179">
        <f t="shared" si="55"/>
        <v>5.3458333333333323</v>
      </c>
      <c r="R1799" s="179" t="s">
        <v>958</v>
      </c>
    </row>
    <row r="1800" spans="1:18" x14ac:dyDescent="0.15">
      <c r="A1800" s="179" t="str">
        <f t="shared" si="54"/>
        <v>Tijuana_Optimal Summer_247.5</v>
      </c>
      <c r="B1800" s="179" t="s">
        <v>865</v>
      </c>
      <c r="C1800" s="179">
        <v>17</v>
      </c>
      <c r="D1800" s="179">
        <v>247.5</v>
      </c>
      <c r="E1800" s="179">
        <v>3.62</v>
      </c>
      <c r="F1800" s="179">
        <v>4.2300000000000004</v>
      </c>
      <c r="G1800" s="179">
        <v>5.01</v>
      </c>
      <c r="H1800" s="179">
        <v>5.84</v>
      </c>
      <c r="I1800" s="179">
        <v>5.92</v>
      </c>
      <c r="J1800" s="179">
        <v>5.91</v>
      </c>
      <c r="K1800" s="179">
        <v>5.87</v>
      </c>
      <c r="L1800" s="179">
        <v>5.7</v>
      </c>
      <c r="M1800" s="179">
        <v>5.19</v>
      </c>
      <c r="N1800" s="179">
        <v>4.49</v>
      </c>
      <c r="O1800" s="179">
        <v>3.86</v>
      </c>
      <c r="P1800" s="179">
        <v>3.47</v>
      </c>
      <c r="Q1800" s="179">
        <f t="shared" si="55"/>
        <v>4.9258333333333333</v>
      </c>
      <c r="R1800" s="179" t="s">
        <v>958</v>
      </c>
    </row>
    <row r="1801" spans="1:18" x14ac:dyDescent="0.15">
      <c r="A1801" s="179" t="str">
        <f t="shared" si="54"/>
        <v>Tijuana_Optimal Summer_270</v>
      </c>
      <c r="B1801" s="179" t="s">
        <v>865</v>
      </c>
      <c r="C1801" s="179">
        <v>17</v>
      </c>
      <c r="D1801" s="179">
        <v>270</v>
      </c>
      <c r="E1801" s="179">
        <v>3.31</v>
      </c>
      <c r="F1801" s="179">
        <v>3.86</v>
      </c>
      <c r="G1801" s="179">
        <v>4.58</v>
      </c>
      <c r="H1801" s="179">
        <v>5.34</v>
      </c>
      <c r="I1801" s="179">
        <v>5.42</v>
      </c>
      <c r="J1801" s="179">
        <v>5.4</v>
      </c>
      <c r="K1801" s="179">
        <v>5.37</v>
      </c>
      <c r="L1801" s="179">
        <v>5.21</v>
      </c>
      <c r="M1801" s="179">
        <v>4.74</v>
      </c>
      <c r="N1801" s="179">
        <v>4.0999999999999996</v>
      </c>
      <c r="O1801" s="179">
        <v>3.53</v>
      </c>
      <c r="P1801" s="179">
        <v>3.18</v>
      </c>
      <c r="Q1801" s="179">
        <f t="shared" si="55"/>
        <v>4.503333333333333</v>
      </c>
      <c r="R1801" s="179" t="s">
        <v>958</v>
      </c>
    </row>
    <row r="1802" spans="1:18" x14ac:dyDescent="0.15">
      <c r="A1802" s="179" t="str">
        <f t="shared" si="54"/>
        <v>Tijuana_Optimal Year Round_90</v>
      </c>
      <c r="B1802" s="179" t="s">
        <v>865</v>
      </c>
      <c r="C1802" s="179">
        <v>32</v>
      </c>
      <c r="D1802" s="179">
        <v>90</v>
      </c>
      <c r="E1802" s="179">
        <v>3.79</v>
      </c>
      <c r="F1802" s="179">
        <v>4.2300000000000004</v>
      </c>
      <c r="G1802" s="179">
        <v>4.75</v>
      </c>
      <c r="H1802" s="179">
        <v>5.23</v>
      </c>
      <c r="I1802" s="179">
        <v>5.04</v>
      </c>
      <c r="J1802" s="179">
        <v>4.93</v>
      </c>
      <c r="K1802" s="179">
        <v>4.9400000000000004</v>
      </c>
      <c r="L1802" s="179">
        <v>4.9800000000000004</v>
      </c>
      <c r="M1802" s="179">
        <v>4.8099999999999996</v>
      </c>
      <c r="N1802" s="179">
        <v>4.41</v>
      </c>
      <c r="O1802" s="179">
        <v>4</v>
      </c>
      <c r="P1802" s="179">
        <v>3.7</v>
      </c>
      <c r="Q1802" s="179">
        <f t="shared" si="55"/>
        <v>4.5674999999999999</v>
      </c>
      <c r="R1802" s="179" t="s">
        <v>993</v>
      </c>
    </row>
    <row r="1803" spans="1:18" x14ac:dyDescent="0.15">
      <c r="A1803" s="179" t="str">
        <f t="shared" si="54"/>
        <v>Tijuana_Optimal Year Round_112.5</v>
      </c>
      <c r="B1803" s="179" t="s">
        <v>865</v>
      </c>
      <c r="C1803" s="179">
        <v>32</v>
      </c>
      <c r="D1803" s="179">
        <v>112.5</v>
      </c>
      <c r="E1803" s="179">
        <v>4.1500000000000004</v>
      </c>
      <c r="F1803" s="179">
        <v>4.63</v>
      </c>
      <c r="G1803" s="179">
        <v>5.2</v>
      </c>
      <c r="H1803" s="179">
        <v>5.72</v>
      </c>
      <c r="I1803" s="179">
        <v>5.51</v>
      </c>
      <c r="J1803" s="179">
        <v>5.39</v>
      </c>
      <c r="K1803" s="179">
        <v>5.41</v>
      </c>
      <c r="L1803" s="179">
        <v>5.44</v>
      </c>
      <c r="M1803" s="179">
        <v>5.26</v>
      </c>
      <c r="N1803" s="179">
        <v>4.82</v>
      </c>
      <c r="O1803" s="179">
        <v>4.38</v>
      </c>
      <c r="P1803" s="179">
        <v>4.04</v>
      </c>
      <c r="Q1803" s="179">
        <f t="shared" si="55"/>
        <v>4.9958333333333336</v>
      </c>
      <c r="R1803" s="179" t="s">
        <v>993</v>
      </c>
    </row>
    <row r="1804" spans="1:18" x14ac:dyDescent="0.15">
      <c r="A1804" s="179" t="str">
        <f t="shared" si="54"/>
        <v>Tijuana_Optimal Year Round_135</v>
      </c>
      <c r="B1804" s="179" t="s">
        <v>865</v>
      </c>
      <c r="C1804" s="179">
        <v>32</v>
      </c>
      <c r="D1804" s="179">
        <v>135</v>
      </c>
      <c r="E1804" s="179">
        <v>4.5</v>
      </c>
      <c r="F1804" s="179">
        <v>5.03</v>
      </c>
      <c r="G1804" s="179">
        <v>5.64</v>
      </c>
      <c r="H1804" s="179">
        <v>6.21</v>
      </c>
      <c r="I1804" s="179">
        <v>5.98</v>
      </c>
      <c r="J1804" s="179">
        <v>5.85</v>
      </c>
      <c r="K1804" s="179">
        <v>5.87</v>
      </c>
      <c r="L1804" s="179">
        <v>5.91</v>
      </c>
      <c r="M1804" s="179">
        <v>5.71</v>
      </c>
      <c r="N1804" s="179">
        <v>5.23</v>
      </c>
      <c r="O1804" s="179">
        <v>4.75</v>
      </c>
      <c r="P1804" s="179">
        <v>4.3899999999999997</v>
      </c>
      <c r="Q1804" s="179">
        <f t="shared" si="55"/>
        <v>5.4224999999999994</v>
      </c>
      <c r="R1804" s="179" t="s">
        <v>993</v>
      </c>
    </row>
    <row r="1805" spans="1:18" x14ac:dyDescent="0.15">
      <c r="A1805" s="179" t="str">
        <f t="shared" si="54"/>
        <v>Tijuana_Optimal Year Round_157.5</v>
      </c>
      <c r="B1805" s="179" t="s">
        <v>865</v>
      </c>
      <c r="C1805" s="179">
        <v>32</v>
      </c>
      <c r="D1805" s="179">
        <v>157.5</v>
      </c>
      <c r="E1805" s="179">
        <v>4.62</v>
      </c>
      <c r="F1805" s="179">
        <v>5.16</v>
      </c>
      <c r="G1805" s="179">
        <v>5.79</v>
      </c>
      <c r="H1805" s="179">
        <v>6.38</v>
      </c>
      <c r="I1805" s="179">
        <v>6.14</v>
      </c>
      <c r="J1805" s="179">
        <v>6.01</v>
      </c>
      <c r="K1805" s="179">
        <v>6.03</v>
      </c>
      <c r="L1805" s="179">
        <v>6.06</v>
      </c>
      <c r="M1805" s="179">
        <v>5.86</v>
      </c>
      <c r="N1805" s="179">
        <v>5.37</v>
      </c>
      <c r="O1805" s="179">
        <v>4.88</v>
      </c>
      <c r="P1805" s="179">
        <v>4.5</v>
      </c>
      <c r="Q1805" s="179">
        <f t="shared" si="55"/>
        <v>5.5666666666666673</v>
      </c>
      <c r="R1805" s="179" t="s">
        <v>993</v>
      </c>
    </row>
    <row r="1806" spans="1:18" x14ac:dyDescent="0.15">
      <c r="A1806" s="179" t="str">
        <f t="shared" si="54"/>
        <v>Tijuana_Optimal Year Round_180</v>
      </c>
      <c r="B1806" s="179" t="s">
        <v>865</v>
      </c>
      <c r="C1806" s="179">
        <v>32</v>
      </c>
      <c r="D1806" s="179">
        <v>180</v>
      </c>
      <c r="E1806" s="179">
        <v>4.74</v>
      </c>
      <c r="F1806" s="179">
        <v>5.29</v>
      </c>
      <c r="G1806" s="179">
        <v>5.94</v>
      </c>
      <c r="H1806" s="179">
        <v>6.54</v>
      </c>
      <c r="I1806" s="179">
        <v>6.3</v>
      </c>
      <c r="J1806" s="179">
        <v>6.16</v>
      </c>
      <c r="K1806" s="179">
        <v>6.18</v>
      </c>
      <c r="L1806" s="179">
        <v>6.22</v>
      </c>
      <c r="M1806" s="179">
        <v>6.01</v>
      </c>
      <c r="N1806" s="179">
        <v>5.51</v>
      </c>
      <c r="O1806" s="179">
        <v>5</v>
      </c>
      <c r="P1806" s="179">
        <v>4.62</v>
      </c>
      <c r="Q1806" s="179">
        <f t="shared" si="55"/>
        <v>5.7091666666666656</v>
      </c>
      <c r="R1806" s="179" t="s">
        <v>993</v>
      </c>
    </row>
    <row r="1807" spans="1:18" x14ac:dyDescent="0.15">
      <c r="A1807" s="179" t="str">
        <f t="shared" si="54"/>
        <v>Tijuana_Optimal Year Round_202.5</v>
      </c>
      <c r="B1807" s="179" t="s">
        <v>865</v>
      </c>
      <c r="C1807" s="179">
        <v>32</v>
      </c>
      <c r="D1807" s="179">
        <v>202.5</v>
      </c>
      <c r="E1807" s="179">
        <v>4.62</v>
      </c>
      <c r="F1807" s="179">
        <v>5.16</v>
      </c>
      <c r="G1807" s="179">
        <v>5.79</v>
      </c>
      <c r="H1807" s="179">
        <v>6.38</v>
      </c>
      <c r="I1807" s="179">
        <v>6.14</v>
      </c>
      <c r="J1807" s="179">
        <v>6.01</v>
      </c>
      <c r="K1807" s="179">
        <v>6.03</v>
      </c>
      <c r="L1807" s="179">
        <v>6.06</v>
      </c>
      <c r="M1807" s="179">
        <v>5.86</v>
      </c>
      <c r="N1807" s="179">
        <v>5.37</v>
      </c>
      <c r="O1807" s="179">
        <v>4.88</v>
      </c>
      <c r="P1807" s="179">
        <v>4.5</v>
      </c>
      <c r="Q1807" s="179">
        <f t="shared" si="55"/>
        <v>5.5666666666666673</v>
      </c>
      <c r="R1807" s="179" t="s">
        <v>993</v>
      </c>
    </row>
    <row r="1808" spans="1:18" x14ac:dyDescent="0.15">
      <c r="A1808" s="179" t="str">
        <f t="shared" si="54"/>
        <v>Tijuana_Optimal Year Round_225</v>
      </c>
      <c r="B1808" s="179" t="s">
        <v>865</v>
      </c>
      <c r="C1808" s="179">
        <v>32</v>
      </c>
      <c r="D1808" s="179">
        <v>225</v>
      </c>
      <c r="E1808" s="179">
        <v>4.5</v>
      </c>
      <c r="F1808" s="179">
        <v>5.03</v>
      </c>
      <c r="G1808" s="179">
        <v>5.64</v>
      </c>
      <c r="H1808" s="179">
        <v>6.21</v>
      </c>
      <c r="I1808" s="179">
        <v>5.98</v>
      </c>
      <c r="J1808" s="179">
        <v>5.85</v>
      </c>
      <c r="K1808" s="179">
        <v>5.87</v>
      </c>
      <c r="L1808" s="179">
        <v>5.91</v>
      </c>
      <c r="M1808" s="179">
        <v>5.71</v>
      </c>
      <c r="N1808" s="179">
        <v>5.23</v>
      </c>
      <c r="O1808" s="179">
        <v>4.75</v>
      </c>
      <c r="P1808" s="179">
        <v>4.3899999999999997</v>
      </c>
      <c r="Q1808" s="179">
        <f t="shared" si="55"/>
        <v>5.4224999999999994</v>
      </c>
      <c r="R1808" s="179" t="s">
        <v>993</v>
      </c>
    </row>
    <row r="1809" spans="1:18" x14ac:dyDescent="0.15">
      <c r="A1809" s="179" t="str">
        <f t="shared" si="54"/>
        <v>Tijuana_Optimal Year Round_247.5</v>
      </c>
      <c r="B1809" s="179" t="s">
        <v>865</v>
      </c>
      <c r="C1809" s="179">
        <v>32</v>
      </c>
      <c r="D1809" s="179">
        <v>247.5</v>
      </c>
      <c r="E1809" s="179">
        <v>4.1500000000000004</v>
      </c>
      <c r="F1809" s="179">
        <v>4.63</v>
      </c>
      <c r="G1809" s="179">
        <v>5.2</v>
      </c>
      <c r="H1809" s="179">
        <v>5.72</v>
      </c>
      <c r="I1809" s="179">
        <v>5.51</v>
      </c>
      <c r="J1809" s="179">
        <v>5.39</v>
      </c>
      <c r="K1809" s="179">
        <v>5.41</v>
      </c>
      <c r="L1809" s="179">
        <v>5.44</v>
      </c>
      <c r="M1809" s="179">
        <v>5.26</v>
      </c>
      <c r="N1809" s="179">
        <v>4.82</v>
      </c>
      <c r="O1809" s="179">
        <v>4.38</v>
      </c>
      <c r="P1809" s="179">
        <v>4.04</v>
      </c>
      <c r="Q1809" s="179">
        <f t="shared" si="55"/>
        <v>4.9958333333333336</v>
      </c>
      <c r="R1809" s="179" t="s">
        <v>993</v>
      </c>
    </row>
    <row r="1810" spans="1:18" x14ac:dyDescent="0.15">
      <c r="A1810" s="179" t="str">
        <f t="shared" si="54"/>
        <v>Tijuana_Optimal Year Round_270</v>
      </c>
      <c r="B1810" s="179" t="s">
        <v>865</v>
      </c>
      <c r="C1810" s="179">
        <v>32</v>
      </c>
      <c r="D1810" s="179">
        <v>270</v>
      </c>
      <c r="E1810" s="179">
        <v>3.79</v>
      </c>
      <c r="F1810" s="179">
        <v>4.2300000000000004</v>
      </c>
      <c r="G1810" s="179">
        <v>4.75</v>
      </c>
      <c r="H1810" s="179">
        <v>5.23</v>
      </c>
      <c r="I1810" s="179">
        <v>5.04</v>
      </c>
      <c r="J1810" s="179">
        <v>4.93</v>
      </c>
      <c r="K1810" s="179">
        <v>4.9400000000000004</v>
      </c>
      <c r="L1810" s="179">
        <v>4.9800000000000004</v>
      </c>
      <c r="M1810" s="179">
        <v>4.8099999999999996</v>
      </c>
      <c r="N1810" s="179">
        <v>4.41</v>
      </c>
      <c r="O1810" s="179">
        <v>4</v>
      </c>
      <c r="P1810" s="179">
        <v>3.7</v>
      </c>
      <c r="Q1810" s="179">
        <f t="shared" si="55"/>
        <v>4.5674999999999999</v>
      </c>
      <c r="R1810" s="179" t="s">
        <v>993</v>
      </c>
    </row>
    <row r="1811" spans="1:18" x14ac:dyDescent="0.15">
      <c r="A1811" s="179" t="str">
        <f t="shared" si="54"/>
        <v>Tlahuac_Flat Surface_90</v>
      </c>
      <c r="B1811" s="179" t="s">
        <v>1156</v>
      </c>
      <c r="C1811" s="179">
        <v>0</v>
      </c>
      <c r="D1811" s="179">
        <v>90</v>
      </c>
      <c r="E1811" s="179">
        <v>4.6900000000000004</v>
      </c>
      <c r="F1811" s="179">
        <v>5.45</v>
      </c>
      <c r="G1811" s="179">
        <v>6.13</v>
      </c>
      <c r="H1811" s="179">
        <v>6.1</v>
      </c>
      <c r="I1811" s="179">
        <v>6.13</v>
      </c>
      <c r="J1811" s="179">
        <v>5.61</v>
      </c>
      <c r="K1811" s="179">
        <v>5.64</v>
      </c>
      <c r="L1811" s="179">
        <v>5.46</v>
      </c>
      <c r="M1811" s="179">
        <v>4.88</v>
      </c>
      <c r="N1811" s="179">
        <v>4.8899999999999997</v>
      </c>
      <c r="O1811" s="179">
        <v>4.75</v>
      </c>
      <c r="P1811" s="179">
        <v>4.34</v>
      </c>
      <c r="Q1811" s="179">
        <f t="shared" si="55"/>
        <v>5.3391666666666673</v>
      </c>
      <c r="R1811" s="179" t="s">
        <v>994</v>
      </c>
    </row>
    <row r="1812" spans="1:18" x14ac:dyDescent="0.15">
      <c r="A1812" s="179" t="str">
        <f t="shared" si="54"/>
        <v>Tlahuac_Flat Surface_112.5</v>
      </c>
      <c r="B1812" s="179" t="s">
        <v>1156</v>
      </c>
      <c r="C1812" s="179">
        <v>0</v>
      </c>
      <c r="D1812" s="179">
        <v>112.5</v>
      </c>
      <c r="E1812" s="179">
        <v>4.6900000000000004</v>
      </c>
      <c r="F1812" s="179">
        <v>5.45</v>
      </c>
      <c r="G1812" s="179">
        <v>6.13</v>
      </c>
      <c r="H1812" s="179">
        <v>6.1</v>
      </c>
      <c r="I1812" s="179">
        <v>6.13</v>
      </c>
      <c r="J1812" s="179">
        <v>5.61</v>
      </c>
      <c r="K1812" s="179">
        <v>5.64</v>
      </c>
      <c r="L1812" s="179">
        <v>5.46</v>
      </c>
      <c r="M1812" s="179">
        <v>4.88</v>
      </c>
      <c r="N1812" s="179">
        <v>4.8899999999999997</v>
      </c>
      <c r="O1812" s="179">
        <v>4.75</v>
      </c>
      <c r="P1812" s="179">
        <v>4.34</v>
      </c>
      <c r="Q1812" s="179">
        <f t="shared" si="55"/>
        <v>5.3391666666666673</v>
      </c>
      <c r="R1812" s="179" t="s">
        <v>994</v>
      </c>
    </row>
    <row r="1813" spans="1:18" x14ac:dyDescent="0.15">
      <c r="A1813" s="179" t="str">
        <f t="shared" si="54"/>
        <v>Tlahuac_Flat Surface_135</v>
      </c>
      <c r="B1813" s="179" t="s">
        <v>1156</v>
      </c>
      <c r="C1813" s="179">
        <v>0</v>
      </c>
      <c r="D1813" s="179">
        <v>135</v>
      </c>
      <c r="E1813" s="179">
        <v>4.6900000000000004</v>
      </c>
      <c r="F1813" s="179">
        <v>5.45</v>
      </c>
      <c r="G1813" s="179">
        <v>6.13</v>
      </c>
      <c r="H1813" s="179">
        <v>6.1</v>
      </c>
      <c r="I1813" s="179">
        <v>6.13</v>
      </c>
      <c r="J1813" s="179">
        <v>5.61</v>
      </c>
      <c r="K1813" s="179">
        <v>5.64</v>
      </c>
      <c r="L1813" s="179">
        <v>5.46</v>
      </c>
      <c r="M1813" s="179">
        <v>4.88</v>
      </c>
      <c r="N1813" s="179">
        <v>4.8899999999999997</v>
      </c>
      <c r="O1813" s="179">
        <v>4.75</v>
      </c>
      <c r="P1813" s="179">
        <v>4.34</v>
      </c>
      <c r="Q1813" s="179">
        <f t="shared" si="55"/>
        <v>5.3391666666666673</v>
      </c>
      <c r="R1813" s="179" t="s">
        <v>994</v>
      </c>
    </row>
    <row r="1814" spans="1:18" x14ac:dyDescent="0.15">
      <c r="A1814" s="179" t="str">
        <f t="shared" si="54"/>
        <v>Tlahuac_Flat Surface_157.5</v>
      </c>
      <c r="B1814" s="179" t="s">
        <v>1156</v>
      </c>
      <c r="C1814" s="179">
        <v>0</v>
      </c>
      <c r="D1814" s="179">
        <v>157.5</v>
      </c>
      <c r="E1814" s="179">
        <v>4.6900000000000004</v>
      </c>
      <c r="F1814" s="179">
        <v>5.45</v>
      </c>
      <c r="G1814" s="179">
        <v>6.13</v>
      </c>
      <c r="H1814" s="179">
        <v>6.1</v>
      </c>
      <c r="I1814" s="179">
        <v>6.13</v>
      </c>
      <c r="J1814" s="179">
        <v>5.61</v>
      </c>
      <c r="K1814" s="179">
        <v>5.64</v>
      </c>
      <c r="L1814" s="179">
        <v>5.46</v>
      </c>
      <c r="M1814" s="179">
        <v>4.88</v>
      </c>
      <c r="N1814" s="179">
        <v>4.8899999999999997</v>
      </c>
      <c r="O1814" s="179">
        <v>4.75</v>
      </c>
      <c r="P1814" s="179">
        <v>4.34</v>
      </c>
      <c r="Q1814" s="179">
        <f t="shared" si="55"/>
        <v>5.3391666666666673</v>
      </c>
      <c r="R1814" s="179" t="s">
        <v>994</v>
      </c>
    </row>
    <row r="1815" spans="1:18" x14ac:dyDescent="0.15">
      <c r="A1815" s="179" t="str">
        <f t="shared" si="54"/>
        <v>Tlahuac_Flat Surface_180</v>
      </c>
      <c r="B1815" s="179" t="s">
        <v>1156</v>
      </c>
      <c r="C1815" s="179">
        <v>0</v>
      </c>
      <c r="D1815" s="179">
        <v>180</v>
      </c>
      <c r="E1815" s="179">
        <v>4.6900000000000004</v>
      </c>
      <c r="F1815" s="179">
        <v>5.45</v>
      </c>
      <c r="G1815" s="179">
        <v>6.13</v>
      </c>
      <c r="H1815" s="179">
        <v>6.1</v>
      </c>
      <c r="I1815" s="179">
        <v>6.13</v>
      </c>
      <c r="J1815" s="179">
        <v>5.61</v>
      </c>
      <c r="K1815" s="179">
        <v>5.64</v>
      </c>
      <c r="L1815" s="179">
        <v>5.46</v>
      </c>
      <c r="M1815" s="179">
        <v>4.88</v>
      </c>
      <c r="N1815" s="179">
        <v>4.8899999999999997</v>
      </c>
      <c r="O1815" s="179">
        <v>4.75</v>
      </c>
      <c r="P1815" s="179">
        <v>4.34</v>
      </c>
      <c r="Q1815" s="179">
        <f t="shared" si="55"/>
        <v>5.3391666666666673</v>
      </c>
      <c r="R1815" s="179" t="s">
        <v>994</v>
      </c>
    </row>
    <row r="1816" spans="1:18" x14ac:dyDescent="0.15">
      <c r="A1816" s="179" t="str">
        <f t="shared" si="54"/>
        <v>Tlahuac_Flat Surface_202.5</v>
      </c>
      <c r="B1816" s="179" t="s">
        <v>1156</v>
      </c>
      <c r="C1816" s="179">
        <v>0</v>
      </c>
      <c r="D1816" s="179">
        <v>202.5</v>
      </c>
      <c r="E1816" s="179">
        <v>4.6900000000000004</v>
      </c>
      <c r="F1816" s="179">
        <v>5.45</v>
      </c>
      <c r="G1816" s="179">
        <v>6.13</v>
      </c>
      <c r="H1816" s="179">
        <v>6.1</v>
      </c>
      <c r="I1816" s="179">
        <v>6.13</v>
      </c>
      <c r="J1816" s="179">
        <v>5.61</v>
      </c>
      <c r="K1816" s="179">
        <v>5.64</v>
      </c>
      <c r="L1816" s="179">
        <v>5.46</v>
      </c>
      <c r="M1816" s="179">
        <v>4.88</v>
      </c>
      <c r="N1816" s="179">
        <v>4.8899999999999997</v>
      </c>
      <c r="O1816" s="179">
        <v>4.75</v>
      </c>
      <c r="P1816" s="179">
        <v>4.34</v>
      </c>
      <c r="Q1816" s="179">
        <f t="shared" si="55"/>
        <v>5.3391666666666673</v>
      </c>
      <c r="R1816" s="179" t="s">
        <v>994</v>
      </c>
    </row>
    <row r="1817" spans="1:18" x14ac:dyDescent="0.15">
      <c r="A1817" s="179" t="str">
        <f t="shared" si="54"/>
        <v>Tlahuac_Flat Surface_225</v>
      </c>
      <c r="B1817" s="179" t="s">
        <v>1156</v>
      </c>
      <c r="C1817" s="179">
        <v>0</v>
      </c>
      <c r="D1817" s="179">
        <v>225</v>
      </c>
      <c r="E1817" s="179">
        <v>4.6900000000000004</v>
      </c>
      <c r="F1817" s="179">
        <v>5.45</v>
      </c>
      <c r="G1817" s="179">
        <v>6.13</v>
      </c>
      <c r="H1817" s="179">
        <v>6.1</v>
      </c>
      <c r="I1817" s="179">
        <v>6.13</v>
      </c>
      <c r="J1817" s="179">
        <v>5.61</v>
      </c>
      <c r="K1817" s="179">
        <v>5.64</v>
      </c>
      <c r="L1817" s="179">
        <v>5.46</v>
      </c>
      <c r="M1817" s="179">
        <v>4.88</v>
      </c>
      <c r="N1817" s="179">
        <v>4.8899999999999997</v>
      </c>
      <c r="O1817" s="179">
        <v>4.75</v>
      </c>
      <c r="P1817" s="179">
        <v>4.34</v>
      </c>
      <c r="Q1817" s="179">
        <f t="shared" si="55"/>
        <v>5.3391666666666673</v>
      </c>
      <c r="R1817" s="179" t="s">
        <v>994</v>
      </c>
    </row>
    <row r="1818" spans="1:18" x14ac:dyDescent="0.15">
      <c r="A1818" s="179" t="str">
        <f t="shared" si="54"/>
        <v>Tlahuac_Flat Surface_247.5</v>
      </c>
      <c r="B1818" s="179" t="s">
        <v>1156</v>
      </c>
      <c r="C1818" s="179">
        <v>0</v>
      </c>
      <c r="D1818" s="179">
        <v>247.5</v>
      </c>
      <c r="E1818" s="179">
        <v>4.6900000000000004</v>
      </c>
      <c r="F1818" s="179">
        <v>5.45</v>
      </c>
      <c r="G1818" s="179">
        <v>6.13</v>
      </c>
      <c r="H1818" s="179">
        <v>6.1</v>
      </c>
      <c r="I1818" s="179">
        <v>6.13</v>
      </c>
      <c r="J1818" s="179">
        <v>5.61</v>
      </c>
      <c r="K1818" s="179">
        <v>5.64</v>
      </c>
      <c r="L1818" s="179">
        <v>5.46</v>
      </c>
      <c r="M1818" s="179">
        <v>4.88</v>
      </c>
      <c r="N1818" s="179">
        <v>4.8899999999999997</v>
      </c>
      <c r="O1818" s="179">
        <v>4.75</v>
      </c>
      <c r="P1818" s="179">
        <v>4.34</v>
      </c>
      <c r="Q1818" s="179">
        <f t="shared" si="55"/>
        <v>5.3391666666666673</v>
      </c>
      <c r="R1818" s="179" t="s">
        <v>994</v>
      </c>
    </row>
    <row r="1819" spans="1:18" x14ac:dyDescent="0.15">
      <c r="A1819" s="179" t="str">
        <f t="shared" si="54"/>
        <v>Tlahuac_Flat Surface_270</v>
      </c>
      <c r="B1819" s="179" t="s">
        <v>1156</v>
      </c>
      <c r="C1819" s="179">
        <v>0</v>
      </c>
      <c r="D1819" s="179">
        <v>270</v>
      </c>
      <c r="E1819" s="179">
        <v>4.6900000000000004</v>
      </c>
      <c r="F1819" s="179">
        <v>5.45</v>
      </c>
      <c r="G1819" s="179">
        <v>6.13</v>
      </c>
      <c r="H1819" s="179">
        <v>6.1</v>
      </c>
      <c r="I1819" s="179">
        <v>6.13</v>
      </c>
      <c r="J1819" s="179">
        <v>5.61</v>
      </c>
      <c r="K1819" s="179">
        <v>5.64</v>
      </c>
      <c r="L1819" s="179">
        <v>5.46</v>
      </c>
      <c r="M1819" s="179">
        <v>4.88</v>
      </c>
      <c r="N1819" s="179">
        <v>4.8899999999999997</v>
      </c>
      <c r="O1819" s="179">
        <v>4.75</v>
      </c>
      <c r="P1819" s="179">
        <v>4.34</v>
      </c>
      <c r="Q1819" s="179">
        <f t="shared" si="55"/>
        <v>5.3391666666666673</v>
      </c>
      <c r="R1819" s="179" t="s">
        <v>994</v>
      </c>
    </row>
    <row r="1820" spans="1:18" x14ac:dyDescent="0.15">
      <c r="A1820" s="179" t="str">
        <f t="shared" si="54"/>
        <v>Tlahuac_Optimal Summer_90</v>
      </c>
      <c r="B1820" s="179" t="s">
        <v>1156</v>
      </c>
      <c r="C1820" s="179">
        <v>4</v>
      </c>
      <c r="D1820" s="179">
        <v>90</v>
      </c>
      <c r="E1820" s="179">
        <v>3.95</v>
      </c>
      <c r="F1820" s="179">
        <v>4.5199999999999996</v>
      </c>
      <c r="G1820" s="179">
        <v>5</v>
      </c>
      <c r="H1820" s="179">
        <v>4.9000000000000004</v>
      </c>
      <c r="I1820" s="179">
        <v>4.8600000000000003</v>
      </c>
      <c r="J1820" s="179">
        <v>4.5199999999999996</v>
      </c>
      <c r="K1820" s="179">
        <v>4.54</v>
      </c>
      <c r="L1820" s="179">
        <v>4.3600000000000003</v>
      </c>
      <c r="M1820" s="179">
        <v>3.94</v>
      </c>
      <c r="N1820" s="179">
        <v>4.0199999999999996</v>
      </c>
      <c r="O1820" s="179">
        <v>3.98</v>
      </c>
      <c r="P1820" s="179">
        <v>3.66</v>
      </c>
      <c r="Q1820" s="179">
        <f t="shared" si="55"/>
        <v>4.354166666666667</v>
      </c>
      <c r="R1820" s="179" t="s">
        <v>958</v>
      </c>
    </row>
    <row r="1821" spans="1:18" x14ac:dyDescent="0.15">
      <c r="A1821" s="179" t="str">
        <f t="shared" si="54"/>
        <v>Tlahuac_Optimal Summer_112.5</v>
      </c>
      <c r="B1821" s="179" t="s">
        <v>1156</v>
      </c>
      <c r="C1821" s="179">
        <v>4</v>
      </c>
      <c r="D1821" s="179">
        <v>112.5</v>
      </c>
      <c r="E1821" s="179">
        <v>4.32</v>
      </c>
      <c r="F1821" s="179">
        <v>4.9400000000000004</v>
      </c>
      <c r="G1821" s="179">
        <v>5.47</v>
      </c>
      <c r="H1821" s="179">
        <v>5.36</v>
      </c>
      <c r="I1821" s="179">
        <v>5.32</v>
      </c>
      <c r="J1821" s="179">
        <v>4.9400000000000004</v>
      </c>
      <c r="K1821" s="179">
        <v>4.96</v>
      </c>
      <c r="L1821" s="179">
        <v>4.7699999999999996</v>
      </c>
      <c r="M1821" s="179">
        <v>4.3099999999999996</v>
      </c>
      <c r="N1821" s="179">
        <v>4.3899999999999997</v>
      </c>
      <c r="O1821" s="179">
        <v>4.3600000000000003</v>
      </c>
      <c r="P1821" s="179">
        <v>4</v>
      </c>
      <c r="Q1821" s="179">
        <f t="shared" si="55"/>
        <v>4.7616666666666667</v>
      </c>
      <c r="R1821" s="179" t="s">
        <v>958</v>
      </c>
    </row>
    <row r="1822" spans="1:18" x14ac:dyDescent="0.15">
      <c r="A1822" s="179" t="str">
        <f t="shared" si="54"/>
        <v>Tlahuac_Optimal Summer_135</v>
      </c>
      <c r="B1822" s="179" t="s">
        <v>1156</v>
      </c>
      <c r="C1822" s="179">
        <v>4</v>
      </c>
      <c r="D1822" s="179">
        <v>135</v>
      </c>
      <c r="E1822" s="179">
        <v>4.6900000000000004</v>
      </c>
      <c r="F1822" s="179">
        <v>5.37</v>
      </c>
      <c r="G1822" s="179">
        <v>5.94</v>
      </c>
      <c r="H1822" s="179">
        <v>5.81</v>
      </c>
      <c r="I1822" s="179">
        <v>5.78</v>
      </c>
      <c r="J1822" s="179">
        <v>5.37</v>
      </c>
      <c r="K1822" s="179">
        <v>5.39</v>
      </c>
      <c r="L1822" s="179">
        <v>5.18</v>
      </c>
      <c r="M1822" s="179">
        <v>4.68</v>
      </c>
      <c r="N1822" s="179">
        <v>4.7699999999999996</v>
      </c>
      <c r="O1822" s="179">
        <v>4.7300000000000004</v>
      </c>
      <c r="P1822" s="179">
        <v>4.34</v>
      </c>
      <c r="Q1822" s="179">
        <f t="shared" si="55"/>
        <v>5.1708333333333343</v>
      </c>
      <c r="R1822" s="179" t="s">
        <v>958</v>
      </c>
    </row>
    <row r="1823" spans="1:18" x14ac:dyDescent="0.15">
      <c r="A1823" s="179" t="str">
        <f t="shared" si="54"/>
        <v>Tlahuac_Optimal Summer_157.5</v>
      </c>
      <c r="B1823" s="179" t="s">
        <v>1156</v>
      </c>
      <c r="C1823" s="179">
        <v>4</v>
      </c>
      <c r="D1823" s="179">
        <v>157.5</v>
      </c>
      <c r="E1823" s="179">
        <v>4.82</v>
      </c>
      <c r="F1823" s="179">
        <v>5.51</v>
      </c>
      <c r="G1823" s="179">
        <v>6.09</v>
      </c>
      <c r="H1823" s="179">
        <v>5.97</v>
      </c>
      <c r="I1823" s="179">
        <v>5.93</v>
      </c>
      <c r="J1823" s="179">
        <v>5.51</v>
      </c>
      <c r="K1823" s="179">
        <v>5.53</v>
      </c>
      <c r="L1823" s="179">
        <v>5.31</v>
      </c>
      <c r="M1823" s="179">
        <v>4.8099999999999996</v>
      </c>
      <c r="N1823" s="179">
        <v>4.8899999999999997</v>
      </c>
      <c r="O1823" s="179">
        <v>4.8600000000000003</v>
      </c>
      <c r="P1823" s="179">
        <v>4.46</v>
      </c>
      <c r="Q1823" s="179">
        <f t="shared" si="55"/>
        <v>5.3075000000000001</v>
      </c>
      <c r="R1823" s="179" t="s">
        <v>958</v>
      </c>
    </row>
    <row r="1824" spans="1:18" x14ac:dyDescent="0.15">
      <c r="A1824" s="179" t="str">
        <f t="shared" si="54"/>
        <v>Tlahuac_Optimal Summer_180</v>
      </c>
      <c r="B1824" s="179" t="s">
        <v>1156</v>
      </c>
      <c r="C1824" s="179">
        <v>4</v>
      </c>
      <c r="D1824" s="179">
        <v>180</v>
      </c>
      <c r="E1824" s="179">
        <v>4.9400000000000004</v>
      </c>
      <c r="F1824" s="179">
        <v>5.65</v>
      </c>
      <c r="G1824" s="179">
        <v>6.25</v>
      </c>
      <c r="H1824" s="179">
        <v>6.12</v>
      </c>
      <c r="I1824" s="179">
        <v>6.08</v>
      </c>
      <c r="J1824" s="179">
        <v>5.65</v>
      </c>
      <c r="K1824" s="179">
        <v>5.67</v>
      </c>
      <c r="L1824" s="179">
        <v>5.45</v>
      </c>
      <c r="M1824" s="179">
        <v>4.93</v>
      </c>
      <c r="N1824" s="179">
        <v>5.0199999999999996</v>
      </c>
      <c r="O1824" s="179">
        <v>4.9800000000000004</v>
      </c>
      <c r="P1824" s="179">
        <v>4.57</v>
      </c>
      <c r="Q1824" s="179">
        <f t="shared" si="55"/>
        <v>5.4424999999999999</v>
      </c>
      <c r="R1824" s="179" t="s">
        <v>958</v>
      </c>
    </row>
    <row r="1825" spans="1:18" x14ac:dyDescent="0.15">
      <c r="A1825" s="179" t="str">
        <f t="shared" si="54"/>
        <v>Tlahuac_Optimal Summer_202.5</v>
      </c>
      <c r="B1825" s="179" t="s">
        <v>1156</v>
      </c>
      <c r="C1825" s="179">
        <v>4</v>
      </c>
      <c r="D1825" s="179">
        <v>202.5</v>
      </c>
      <c r="E1825" s="179">
        <v>4.82</v>
      </c>
      <c r="F1825" s="179">
        <v>5.51</v>
      </c>
      <c r="G1825" s="179">
        <v>6.09</v>
      </c>
      <c r="H1825" s="179">
        <v>5.97</v>
      </c>
      <c r="I1825" s="179">
        <v>5.93</v>
      </c>
      <c r="J1825" s="179">
        <v>5.51</v>
      </c>
      <c r="K1825" s="179">
        <v>5.53</v>
      </c>
      <c r="L1825" s="179">
        <v>5.31</v>
      </c>
      <c r="M1825" s="179">
        <v>4.8099999999999996</v>
      </c>
      <c r="N1825" s="179">
        <v>4.8899999999999997</v>
      </c>
      <c r="O1825" s="179">
        <v>4.8600000000000003</v>
      </c>
      <c r="P1825" s="179">
        <v>4.46</v>
      </c>
      <c r="Q1825" s="179">
        <f t="shared" si="55"/>
        <v>5.3075000000000001</v>
      </c>
      <c r="R1825" s="179" t="s">
        <v>958</v>
      </c>
    </row>
    <row r="1826" spans="1:18" x14ac:dyDescent="0.15">
      <c r="A1826" s="179" t="str">
        <f t="shared" si="54"/>
        <v>Tlahuac_Optimal Summer_225</v>
      </c>
      <c r="B1826" s="179" t="s">
        <v>1156</v>
      </c>
      <c r="C1826" s="179">
        <v>4</v>
      </c>
      <c r="D1826" s="179">
        <v>225</v>
      </c>
      <c r="E1826" s="179">
        <v>4.6900000000000004</v>
      </c>
      <c r="F1826" s="179">
        <v>5.37</v>
      </c>
      <c r="G1826" s="179">
        <v>5.94</v>
      </c>
      <c r="H1826" s="179">
        <v>5.81</v>
      </c>
      <c r="I1826" s="179">
        <v>5.78</v>
      </c>
      <c r="J1826" s="179">
        <v>5.37</v>
      </c>
      <c r="K1826" s="179">
        <v>5.39</v>
      </c>
      <c r="L1826" s="179">
        <v>5.18</v>
      </c>
      <c r="M1826" s="179">
        <v>4.68</v>
      </c>
      <c r="N1826" s="179">
        <v>4.7699999999999996</v>
      </c>
      <c r="O1826" s="179">
        <v>4.7300000000000004</v>
      </c>
      <c r="P1826" s="179">
        <v>4.34</v>
      </c>
      <c r="Q1826" s="179">
        <f t="shared" si="55"/>
        <v>5.1708333333333343</v>
      </c>
      <c r="R1826" s="179" t="s">
        <v>958</v>
      </c>
    </row>
    <row r="1827" spans="1:18" x14ac:dyDescent="0.15">
      <c r="A1827" s="179" t="str">
        <f t="shared" si="54"/>
        <v>Tlahuac_Optimal Summer_247.5</v>
      </c>
      <c r="B1827" s="179" t="s">
        <v>1156</v>
      </c>
      <c r="C1827" s="179">
        <v>4</v>
      </c>
      <c r="D1827" s="179">
        <v>247.5</v>
      </c>
      <c r="E1827" s="179">
        <v>4.32</v>
      </c>
      <c r="F1827" s="179">
        <v>4.9400000000000004</v>
      </c>
      <c r="G1827" s="179">
        <v>5.47</v>
      </c>
      <c r="H1827" s="179">
        <v>5.36</v>
      </c>
      <c r="I1827" s="179">
        <v>5.32</v>
      </c>
      <c r="J1827" s="179">
        <v>4.9400000000000004</v>
      </c>
      <c r="K1827" s="179">
        <v>4.96</v>
      </c>
      <c r="L1827" s="179">
        <v>4.7699999999999996</v>
      </c>
      <c r="M1827" s="179">
        <v>4.3099999999999996</v>
      </c>
      <c r="N1827" s="179">
        <v>4.3899999999999997</v>
      </c>
      <c r="O1827" s="179">
        <v>4.3600000000000003</v>
      </c>
      <c r="P1827" s="179">
        <v>4</v>
      </c>
      <c r="Q1827" s="179">
        <f t="shared" si="55"/>
        <v>4.7616666666666667</v>
      </c>
      <c r="R1827" s="179" t="s">
        <v>958</v>
      </c>
    </row>
    <row r="1828" spans="1:18" x14ac:dyDescent="0.15">
      <c r="A1828" s="179" t="str">
        <f t="shared" si="54"/>
        <v>Tlahuac_Optimal Summer_270</v>
      </c>
      <c r="B1828" s="179" t="s">
        <v>1156</v>
      </c>
      <c r="C1828" s="179">
        <v>4</v>
      </c>
      <c r="D1828" s="179">
        <v>270</v>
      </c>
      <c r="E1828" s="179">
        <v>3.95</v>
      </c>
      <c r="F1828" s="179">
        <v>4.5199999999999996</v>
      </c>
      <c r="G1828" s="179">
        <v>5</v>
      </c>
      <c r="H1828" s="179">
        <v>4.9000000000000004</v>
      </c>
      <c r="I1828" s="179">
        <v>4.8600000000000003</v>
      </c>
      <c r="J1828" s="179">
        <v>4.5199999999999996</v>
      </c>
      <c r="K1828" s="179">
        <v>4.54</v>
      </c>
      <c r="L1828" s="179">
        <v>4.3600000000000003</v>
      </c>
      <c r="M1828" s="179">
        <v>3.94</v>
      </c>
      <c r="N1828" s="179">
        <v>4.0199999999999996</v>
      </c>
      <c r="O1828" s="179">
        <v>3.98</v>
      </c>
      <c r="P1828" s="179">
        <v>3.66</v>
      </c>
      <c r="Q1828" s="179">
        <f t="shared" si="55"/>
        <v>4.354166666666667</v>
      </c>
      <c r="R1828" s="179" t="s">
        <v>958</v>
      </c>
    </row>
    <row r="1829" spans="1:18" x14ac:dyDescent="0.15">
      <c r="A1829" s="179" t="str">
        <f t="shared" si="54"/>
        <v>Tlahuac_Optimal Year Round_90</v>
      </c>
      <c r="B1829" s="179" t="s">
        <v>1156</v>
      </c>
      <c r="C1829" s="179">
        <v>19</v>
      </c>
      <c r="D1829" s="179">
        <v>90</v>
      </c>
      <c r="E1829" s="179">
        <v>4.5599999999999996</v>
      </c>
      <c r="F1829" s="179">
        <v>4.97</v>
      </c>
      <c r="G1829" s="179">
        <v>5.18</v>
      </c>
      <c r="H1829" s="179">
        <v>4.8099999999999996</v>
      </c>
      <c r="I1829" s="179">
        <v>4.57</v>
      </c>
      <c r="J1829" s="179">
        <v>4.5</v>
      </c>
      <c r="K1829" s="179">
        <v>4.5</v>
      </c>
      <c r="L1829" s="179">
        <v>4.22</v>
      </c>
      <c r="M1829" s="179">
        <v>3.97</v>
      </c>
      <c r="N1829" s="179">
        <v>4.28</v>
      </c>
      <c r="O1829" s="179">
        <v>4.5199999999999996</v>
      </c>
      <c r="P1829" s="179">
        <v>4.22</v>
      </c>
      <c r="Q1829" s="179">
        <f t="shared" si="55"/>
        <v>4.5249999999999995</v>
      </c>
      <c r="R1829" s="179" t="s">
        <v>993</v>
      </c>
    </row>
    <row r="1830" spans="1:18" x14ac:dyDescent="0.15">
      <c r="A1830" s="179" t="str">
        <f t="shared" si="54"/>
        <v>Tlahuac_Optimal Year Round_112.5</v>
      </c>
      <c r="B1830" s="179" t="s">
        <v>1156</v>
      </c>
      <c r="C1830" s="179">
        <v>19</v>
      </c>
      <c r="D1830" s="179">
        <v>112.5</v>
      </c>
      <c r="E1830" s="179">
        <v>4.99</v>
      </c>
      <c r="F1830" s="179">
        <v>5.43</v>
      </c>
      <c r="G1830" s="179">
        <v>5.67</v>
      </c>
      <c r="H1830" s="179">
        <v>5.26</v>
      </c>
      <c r="I1830" s="179">
        <v>5</v>
      </c>
      <c r="J1830" s="179">
        <v>4.93</v>
      </c>
      <c r="K1830" s="179">
        <v>4.92</v>
      </c>
      <c r="L1830" s="179">
        <v>4.6100000000000003</v>
      </c>
      <c r="M1830" s="179">
        <v>4.34</v>
      </c>
      <c r="N1830" s="179">
        <v>4.68</v>
      </c>
      <c r="O1830" s="179">
        <v>4.9400000000000004</v>
      </c>
      <c r="P1830" s="179">
        <v>4.62</v>
      </c>
      <c r="Q1830" s="179">
        <f t="shared" si="55"/>
        <v>4.9491666666666667</v>
      </c>
      <c r="R1830" s="179" t="s">
        <v>993</v>
      </c>
    </row>
    <row r="1831" spans="1:18" x14ac:dyDescent="0.15">
      <c r="A1831" s="179" t="str">
        <f t="shared" si="54"/>
        <v>Tlahuac_Optimal Year Round_135</v>
      </c>
      <c r="B1831" s="179" t="s">
        <v>1156</v>
      </c>
      <c r="C1831" s="179">
        <v>19</v>
      </c>
      <c r="D1831" s="179">
        <v>135</v>
      </c>
      <c r="E1831" s="179">
        <v>5.42</v>
      </c>
      <c r="F1831" s="179">
        <v>5.9</v>
      </c>
      <c r="G1831" s="179">
        <v>6.16</v>
      </c>
      <c r="H1831" s="179">
        <v>5.71</v>
      </c>
      <c r="I1831" s="179">
        <v>5.42</v>
      </c>
      <c r="J1831" s="179">
        <v>5.35</v>
      </c>
      <c r="K1831" s="179">
        <v>5.34</v>
      </c>
      <c r="L1831" s="179">
        <v>5.01</v>
      </c>
      <c r="M1831" s="179">
        <v>4.71</v>
      </c>
      <c r="N1831" s="179">
        <v>5.08</v>
      </c>
      <c r="O1831" s="179">
        <v>5.37</v>
      </c>
      <c r="P1831" s="179">
        <v>5.0199999999999996</v>
      </c>
      <c r="Q1831" s="179">
        <f t="shared" si="55"/>
        <v>5.3741666666666665</v>
      </c>
      <c r="R1831" s="179" t="s">
        <v>993</v>
      </c>
    </row>
    <row r="1832" spans="1:18" x14ac:dyDescent="0.15">
      <c r="A1832" s="179" t="str">
        <f t="shared" si="54"/>
        <v>Tlahuac_Optimal Year Round_157.5</v>
      </c>
      <c r="B1832" s="179" t="s">
        <v>1156</v>
      </c>
      <c r="C1832" s="179">
        <v>19</v>
      </c>
      <c r="D1832" s="179">
        <v>157.5</v>
      </c>
      <c r="E1832" s="179">
        <v>5.56</v>
      </c>
      <c r="F1832" s="179">
        <v>6.05</v>
      </c>
      <c r="G1832" s="179">
        <v>6.32</v>
      </c>
      <c r="H1832" s="179">
        <v>5.86</v>
      </c>
      <c r="I1832" s="179">
        <v>5.57</v>
      </c>
      <c r="J1832" s="179">
        <v>5.49</v>
      </c>
      <c r="K1832" s="179">
        <v>5.48</v>
      </c>
      <c r="L1832" s="179">
        <v>5.14</v>
      </c>
      <c r="M1832" s="179">
        <v>4.84</v>
      </c>
      <c r="N1832" s="179">
        <v>5.22</v>
      </c>
      <c r="O1832" s="179">
        <v>5.51</v>
      </c>
      <c r="P1832" s="179">
        <v>5.15</v>
      </c>
      <c r="Q1832" s="179">
        <f t="shared" si="55"/>
        <v>5.5158333333333331</v>
      </c>
      <c r="R1832" s="179" t="s">
        <v>993</v>
      </c>
    </row>
    <row r="1833" spans="1:18" x14ac:dyDescent="0.15">
      <c r="A1833" s="179" t="str">
        <f t="shared" si="54"/>
        <v>Tlahuac_Optimal Year Round_180</v>
      </c>
      <c r="B1833" s="179" t="s">
        <v>1156</v>
      </c>
      <c r="C1833" s="179">
        <v>19</v>
      </c>
      <c r="D1833" s="179">
        <v>180</v>
      </c>
      <c r="E1833" s="179">
        <v>5.7</v>
      </c>
      <c r="F1833" s="179">
        <v>6.21</v>
      </c>
      <c r="G1833" s="179">
        <v>6.48</v>
      </c>
      <c r="H1833" s="179">
        <v>6.01</v>
      </c>
      <c r="I1833" s="179">
        <v>5.71</v>
      </c>
      <c r="J1833" s="179">
        <v>5.63</v>
      </c>
      <c r="K1833" s="179">
        <v>5.62</v>
      </c>
      <c r="L1833" s="179">
        <v>5.27</v>
      </c>
      <c r="M1833" s="179">
        <v>4.96</v>
      </c>
      <c r="N1833" s="179">
        <v>5.35</v>
      </c>
      <c r="O1833" s="179">
        <v>5.65</v>
      </c>
      <c r="P1833" s="179">
        <v>5.28</v>
      </c>
      <c r="Q1833" s="179">
        <f t="shared" si="55"/>
        <v>5.6558333333333328</v>
      </c>
      <c r="R1833" s="179" t="s">
        <v>993</v>
      </c>
    </row>
    <row r="1834" spans="1:18" x14ac:dyDescent="0.15">
      <c r="A1834" s="179" t="str">
        <f t="shared" si="54"/>
        <v>Tlahuac_Optimal Year Round_202.5</v>
      </c>
      <c r="B1834" s="179" t="s">
        <v>1156</v>
      </c>
      <c r="C1834" s="179">
        <v>19</v>
      </c>
      <c r="D1834" s="179">
        <v>202.5</v>
      </c>
      <c r="E1834" s="179">
        <v>5.56</v>
      </c>
      <c r="F1834" s="179">
        <v>6.05</v>
      </c>
      <c r="G1834" s="179">
        <v>6.32</v>
      </c>
      <c r="H1834" s="179">
        <v>5.86</v>
      </c>
      <c r="I1834" s="179">
        <v>5.57</v>
      </c>
      <c r="J1834" s="179">
        <v>5.49</v>
      </c>
      <c r="K1834" s="179">
        <v>5.48</v>
      </c>
      <c r="L1834" s="179">
        <v>5.14</v>
      </c>
      <c r="M1834" s="179">
        <v>4.84</v>
      </c>
      <c r="N1834" s="179">
        <v>5.22</v>
      </c>
      <c r="O1834" s="179">
        <v>5.51</v>
      </c>
      <c r="P1834" s="179">
        <v>5.15</v>
      </c>
      <c r="Q1834" s="179">
        <f t="shared" si="55"/>
        <v>5.5158333333333331</v>
      </c>
      <c r="R1834" s="179" t="s">
        <v>993</v>
      </c>
    </row>
    <row r="1835" spans="1:18" x14ac:dyDescent="0.15">
      <c r="A1835" s="179" t="str">
        <f t="shared" si="54"/>
        <v>Tlahuac_Optimal Year Round_225</v>
      </c>
      <c r="B1835" s="179" t="s">
        <v>1156</v>
      </c>
      <c r="C1835" s="179">
        <v>19</v>
      </c>
      <c r="D1835" s="179">
        <v>225</v>
      </c>
      <c r="E1835" s="179">
        <v>5.42</v>
      </c>
      <c r="F1835" s="179">
        <v>5.9</v>
      </c>
      <c r="G1835" s="179">
        <v>6.16</v>
      </c>
      <c r="H1835" s="179">
        <v>5.71</v>
      </c>
      <c r="I1835" s="179">
        <v>5.42</v>
      </c>
      <c r="J1835" s="179">
        <v>5.35</v>
      </c>
      <c r="K1835" s="179">
        <v>5.34</v>
      </c>
      <c r="L1835" s="179">
        <v>5.01</v>
      </c>
      <c r="M1835" s="179">
        <v>4.71</v>
      </c>
      <c r="N1835" s="179">
        <v>5.08</v>
      </c>
      <c r="O1835" s="179">
        <v>5.37</v>
      </c>
      <c r="P1835" s="179">
        <v>5.0199999999999996</v>
      </c>
      <c r="Q1835" s="179">
        <f t="shared" si="55"/>
        <v>5.3741666666666665</v>
      </c>
      <c r="R1835" s="179" t="s">
        <v>993</v>
      </c>
    </row>
    <row r="1836" spans="1:18" x14ac:dyDescent="0.15">
      <c r="A1836" s="179" t="str">
        <f t="shared" si="54"/>
        <v>Tlahuac_Optimal Year Round_247.5</v>
      </c>
      <c r="B1836" s="179" t="s">
        <v>1156</v>
      </c>
      <c r="C1836" s="179">
        <v>19</v>
      </c>
      <c r="D1836" s="179">
        <v>247.5</v>
      </c>
      <c r="E1836" s="179">
        <v>4.99</v>
      </c>
      <c r="F1836" s="179">
        <v>5.43</v>
      </c>
      <c r="G1836" s="179">
        <v>5.67</v>
      </c>
      <c r="H1836" s="179">
        <v>5.26</v>
      </c>
      <c r="I1836" s="179">
        <v>5</v>
      </c>
      <c r="J1836" s="179">
        <v>4.93</v>
      </c>
      <c r="K1836" s="179">
        <v>4.92</v>
      </c>
      <c r="L1836" s="179">
        <v>4.6100000000000003</v>
      </c>
      <c r="M1836" s="179">
        <v>4.34</v>
      </c>
      <c r="N1836" s="179">
        <v>4.68</v>
      </c>
      <c r="O1836" s="179">
        <v>4.9400000000000004</v>
      </c>
      <c r="P1836" s="179">
        <v>4.62</v>
      </c>
      <c r="Q1836" s="179">
        <f t="shared" si="55"/>
        <v>4.9491666666666667</v>
      </c>
      <c r="R1836" s="179" t="s">
        <v>993</v>
      </c>
    </row>
    <row r="1837" spans="1:18" x14ac:dyDescent="0.15">
      <c r="A1837" s="179" t="str">
        <f t="shared" si="54"/>
        <v>Tlahuac_Optimal Year Round_270</v>
      </c>
      <c r="B1837" s="179" t="s">
        <v>1156</v>
      </c>
      <c r="C1837" s="179">
        <v>19</v>
      </c>
      <c r="D1837" s="179">
        <v>270</v>
      </c>
      <c r="E1837" s="179">
        <v>4.5599999999999996</v>
      </c>
      <c r="F1837" s="179">
        <v>4.97</v>
      </c>
      <c r="G1837" s="179">
        <v>5.18</v>
      </c>
      <c r="H1837" s="179">
        <v>4.8099999999999996</v>
      </c>
      <c r="I1837" s="179">
        <v>4.57</v>
      </c>
      <c r="J1837" s="179">
        <v>4.5</v>
      </c>
      <c r="K1837" s="179">
        <v>4.5</v>
      </c>
      <c r="L1837" s="179">
        <v>4.22</v>
      </c>
      <c r="M1837" s="179">
        <v>3.97</v>
      </c>
      <c r="N1837" s="179">
        <v>4.28</v>
      </c>
      <c r="O1837" s="179">
        <v>4.5199999999999996</v>
      </c>
      <c r="P1837" s="179">
        <v>4.22</v>
      </c>
      <c r="Q1837" s="179">
        <f t="shared" si="55"/>
        <v>4.5249999999999995</v>
      </c>
      <c r="R1837" s="179" t="s">
        <v>993</v>
      </c>
    </row>
    <row r="1838" spans="1:18" x14ac:dyDescent="0.15">
      <c r="A1838" s="179" t="str">
        <f t="shared" si="54"/>
        <v>Tlalnepantla_Flat Surface_90</v>
      </c>
      <c r="B1838" s="179" t="s">
        <v>1157</v>
      </c>
      <c r="C1838" s="179">
        <v>0</v>
      </c>
      <c r="D1838" s="179">
        <v>90</v>
      </c>
      <c r="E1838" s="179">
        <v>4.74</v>
      </c>
      <c r="F1838" s="179">
        <v>5.68</v>
      </c>
      <c r="G1838" s="179">
        <v>6.47</v>
      </c>
      <c r="H1838" s="179">
        <v>6.38</v>
      </c>
      <c r="I1838" s="179">
        <v>6.21</v>
      </c>
      <c r="J1838" s="179">
        <v>5.57</v>
      </c>
      <c r="K1838" s="179">
        <v>5.48</v>
      </c>
      <c r="L1838" s="179">
        <v>5.31</v>
      </c>
      <c r="M1838" s="179">
        <v>4.88</v>
      </c>
      <c r="N1838" s="179">
        <v>4.87</v>
      </c>
      <c r="O1838" s="179">
        <v>4.7699999999999996</v>
      </c>
      <c r="P1838" s="179">
        <v>4.34</v>
      </c>
      <c r="Q1838" s="179">
        <f t="shared" si="55"/>
        <v>5.3916666666666666</v>
      </c>
      <c r="R1838" s="179" t="s">
        <v>994</v>
      </c>
    </row>
    <row r="1839" spans="1:18" x14ac:dyDescent="0.15">
      <c r="A1839" s="179" t="str">
        <f t="shared" si="54"/>
        <v>Tlalnepantla_Flat Surface_112.5</v>
      </c>
      <c r="B1839" s="179" t="s">
        <v>1157</v>
      </c>
      <c r="C1839" s="179">
        <v>0</v>
      </c>
      <c r="D1839" s="179">
        <v>112.5</v>
      </c>
      <c r="E1839" s="179">
        <v>4.74</v>
      </c>
      <c r="F1839" s="179">
        <v>5.68</v>
      </c>
      <c r="G1839" s="179">
        <v>6.47</v>
      </c>
      <c r="H1839" s="179">
        <v>6.38</v>
      </c>
      <c r="I1839" s="179">
        <v>6.21</v>
      </c>
      <c r="J1839" s="179">
        <v>5.57</v>
      </c>
      <c r="K1839" s="179">
        <v>5.48</v>
      </c>
      <c r="L1839" s="179">
        <v>5.31</v>
      </c>
      <c r="M1839" s="179">
        <v>4.88</v>
      </c>
      <c r="N1839" s="179">
        <v>4.87</v>
      </c>
      <c r="O1839" s="179">
        <v>4.7699999999999996</v>
      </c>
      <c r="P1839" s="179">
        <v>4.34</v>
      </c>
      <c r="Q1839" s="179">
        <f t="shared" si="55"/>
        <v>5.3916666666666666</v>
      </c>
      <c r="R1839" s="179" t="s">
        <v>994</v>
      </c>
    </row>
    <row r="1840" spans="1:18" x14ac:dyDescent="0.15">
      <c r="A1840" s="179" t="str">
        <f t="shared" si="54"/>
        <v>Tlalnepantla_Flat Surface_135</v>
      </c>
      <c r="B1840" s="179" t="s">
        <v>1157</v>
      </c>
      <c r="C1840" s="179">
        <v>0</v>
      </c>
      <c r="D1840" s="179">
        <v>135</v>
      </c>
      <c r="E1840" s="179">
        <v>4.74</v>
      </c>
      <c r="F1840" s="179">
        <v>5.68</v>
      </c>
      <c r="G1840" s="179">
        <v>6.47</v>
      </c>
      <c r="H1840" s="179">
        <v>6.38</v>
      </c>
      <c r="I1840" s="179">
        <v>6.21</v>
      </c>
      <c r="J1840" s="179">
        <v>5.57</v>
      </c>
      <c r="K1840" s="179">
        <v>5.48</v>
      </c>
      <c r="L1840" s="179">
        <v>5.31</v>
      </c>
      <c r="M1840" s="179">
        <v>4.88</v>
      </c>
      <c r="N1840" s="179">
        <v>4.87</v>
      </c>
      <c r="O1840" s="179">
        <v>4.7699999999999996</v>
      </c>
      <c r="P1840" s="179">
        <v>4.34</v>
      </c>
      <c r="Q1840" s="179">
        <f t="shared" si="55"/>
        <v>5.3916666666666666</v>
      </c>
      <c r="R1840" s="179" t="s">
        <v>994</v>
      </c>
    </row>
    <row r="1841" spans="1:18" x14ac:dyDescent="0.15">
      <c r="A1841" s="179" t="str">
        <f t="shared" si="54"/>
        <v>Tlalnepantla_Flat Surface_157.5</v>
      </c>
      <c r="B1841" s="179" t="s">
        <v>1157</v>
      </c>
      <c r="C1841" s="179">
        <v>0</v>
      </c>
      <c r="D1841" s="179">
        <v>157.5</v>
      </c>
      <c r="E1841" s="179">
        <v>4.74</v>
      </c>
      <c r="F1841" s="179">
        <v>5.68</v>
      </c>
      <c r="G1841" s="179">
        <v>6.47</v>
      </c>
      <c r="H1841" s="179">
        <v>6.38</v>
      </c>
      <c r="I1841" s="179">
        <v>6.21</v>
      </c>
      <c r="J1841" s="179">
        <v>5.57</v>
      </c>
      <c r="K1841" s="179">
        <v>5.48</v>
      </c>
      <c r="L1841" s="179">
        <v>5.31</v>
      </c>
      <c r="M1841" s="179">
        <v>4.88</v>
      </c>
      <c r="N1841" s="179">
        <v>4.87</v>
      </c>
      <c r="O1841" s="179">
        <v>4.7699999999999996</v>
      </c>
      <c r="P1841" s="179">
        <v>4.34</v>
      </c>
      <c r="Q1841" s="179">
        <f t="shared" si="55"/>
        <v>5.3916666666666666</v>
      </c>
      <c r="R1841" s="179" t="s">
        <v>994</v>
      </c>
    </row>
    <row r="1842" spans="1:18" x14ac:dyDescent="0.15">
      <c r="A1842" s="179" t="str">
        <f t="shared" si="54"/>
        <v>Tlalnepantla_Flat Surface_180</v>
      </c>
      <c r="B1842" s="179" t="s">
        <v>1157</v>
      </c>
      <c r="C1842" s="179">
        <v>0</v>
      </c>
      <c r="D1842" s="179">
        <v>180</v>
      </c>
      <c r="E1842" s="179">
        <v>4.74</v>
      </c>
      <c r="F1842" s="179">
        <v>5.68</v>
      </c>
      <c r="G1842" s="179">
        <v>6.47</v>
      </c>
      <c r="H1842" s="179">
        <v>6.38</v>
      </c>
      <c r="I1842" s="179">
        <v>6.21</v>
      </c>
      <c r="J1842" s="179">
        <v>5.57</v>
      </c>
      <c r="K1842" s="179">
        <v>5.48</v>
      </c>
      <c r="L1842" s="179">
        <v>5.31</v>
      </c>
      <c r="M1842" s="179">
        <v>4.88</v>
      </c>
      <c r="N1842" s="179">
        <v>4.87</v>
      </c>
      <c r="O1842" s="179">
        <v>4.7699999999999996</v>
      </c>
      <c r="P1842" s="179">
        <v>4.34</v>
      </c>
      <c r="Q1842" s="179">
        <f t="shared" si="55"/>
        <v>5.3916666666666666</v>
      </c>
      <c r="R1842" s="179" t="s">
        <v>994</v>
      </c>
    </row>
    <row r="1843" spans="1:18" x14ac:dyDescent="0.15">
      <c r="A1843" s="179" t="str">
        <f t="shared" si="54"/>
        <v>Tlalnepantla_Flat Surface_202.5</v>
      </c>
      <c r="B1843" s="179" t="s">
        <v>1157</v>
      </c>
      <c r="C1843" s="179">
        <v>0</v>
      </c>
      <c r="D1843" s="179">
        <v>202.5</v>
      </c>
      <c r="E1843" s="179">
        <v>4.74</v>
      </c>
      <c r="F1843" s="179">
        <v>5.68</v>
      </c>
      <c r="G1843" s="179">
        <v>6.47</v>
      </c>
      <c r="H1843" s="179">
        <v>6.38</v>
      </c>
      <c r="I1843" s="179">
        <v>6.21</v>
      </c>
      <c r="J1843" s="179">
        <v>5.57</v>
      </c>
      <c r="K1843" s="179">
        <v>5.48</v>
      </c>
      <c r="L1843" s="179">
        <v>5.31</v>
      </c>
      <c r="M1843" s="179">
        <v>4.88</v>
      </c>
      <c r="N1843" s="179">
        <v>4.87</v>
      </c>
      <c r="O1843" s="179">
        <v>4.7699999999999996</v>
      </c>
      <c r="P1843" s="179">
        <v>4.34</v>
      </c>
      <c r="Q1843" s="179">
        <f t="shared" si="55"/>
        <v>5.3916666666666666</v>
      </c>
      <c r="R1843" s="179" t="s">
        <v>994</v>
      </c>
    </row>
    <row r="1844" spans="1:18" x14ac:dyDescent="0.15">
      <c r="A1844" s="179" t="str">
        <f t="shared" si="54"/>
        <v>Tlalnepantla_Flat Surface_225</v>
      </c>
      <c r="B1844" s="179" t="s">
        <v>1157</v>
      </c>
      <c r="C1844" s="179">
        <v>0</v>
      </c>
      <c r="D1844" s="179">
        <v>225</v>
      </c>
      <c r="E1844" s="179">
        <v>4.74</v>
      </c>
      <c r="F1844" s="179">
        <v>5.68</v>
      </c>
      <c r="G1844" s="179">
        <v>6.47</v>
      </c>
      <c r="H1844" s="179">
        <v>6.38</v>
      </c>
      <c r="I1844" s="179">
        <v>6.21</v>
      </c>
      <c r="J1844" s="179">
        <v>5.57</v>
      </c>
      <c r="K1844" s="179">
        <v>5.48</v>
      </c>
      <c r="L1844" s="179">
        <v>5.31</v>
      </c>
      <c r="M1844" s="179">
        <v>4.88</v>
      </c>
      <c r="N1844" s="179">
        <v>4.87</v>
      </c>
      <c r="O1844" s="179">
        <v>4.7699999999999996</v>
      </c>
      <c r="P1844" s="179">
        <v>4.34</v>
      </c>
      <c r="Q1844" s="179">
        <f t="shared" si="55"/>
        <v>5.3916666666666666</v>
      </c>
      <c r="R1844" s="179" t="s">
        <v>994</v>
      </c>
    </row>
    <row r="1845" spans="1:18" x14ac:dyDescent="0.15">
      <c r="A1845" s="179" t="str">
        <f t="shared" si="54"/>
        <v>Tlalnepantla_Flat Surface_247.5</v>
      </c>
      <c r="B1845" s="179" t="s">
        <v>1157</v>
      </c>
      <c r="C1845" s="179">
        <v>0</v>
      </c>
      <c r="D1845" s="179">
        <v>247.5</v>
      </c>
      <c r="E1845" s="179">
        <v>4.74</v>
      </c>
      <c r="F1845" s="179">
        <v>5.68</v>
      </c>
      <c r="G1845" s="179">
        <v>6.47</v>
      </c>
      <c r="H1845" s="179">
        <v>6.38</v>
      </c>
      <c r="I1845" s="179">
        <v>6.21</v>
      </c>
      <c r="J1845" s="179">
        <v>5.57</v>
      </c>
      <c r="K1845" s="179">
        <v>5.48</v>
      </c>
      <c r="L1845" s="179">
        <v>5.31</v>
      </c>
      <c r="M1845" s="179">
        <v>4.88</v>
      </c>
      <c r="N1845" s="179">
        <v>4.87</v>
      </c>
      <c r="O1845" s="179">
        <v>4.7699999999999996</v>
      </c>
      <c r="P1845" s="179">
        <v>4.34</v>
      </c>
      <c r="Q1845" s="179">
        <f t="shared" si="55"/>
        <v>5.3916666666666666</v>
      </c>
      <c r="R1845" s="179" t="s">
        <v>994</v>
      </c>
    </row>
    <row r="1846" spans="1:18" x14ac:dyDescent="0.15">
      <c r="A1846" s="179" t="str">
        <f t="shared" si="54"/>
        <v>Tlalnepantla_Flat Surface_270</v>
      </c>
      <c r="B1846" s="179" t="s">
        <v>1157</v>
      </c>
      <c r="C1846" s="179">
        <v>0</v>
      </c>
      <c r="D1846" s="179">
        <v>270</v>
      </c>
      <c r="E1846" s="179">
        <v>4.74</v>
      </c>
      <c r="F1846" s="179">
        <v>5.68</v>
      </c>
      <c r="G1846" s="179">
        <v>6.47</v>
      </c>
      <c r="H1846" s="179">
        <v>6.38</v>
      </c>
      <c r="I1846" s="179">
        <v>6.21</v>
      </c>
      <c r="J1846" s="179">
        <v>5.57</v>
      </c>
      <c r="K1846" s="179">
        <v>5.48</v>
      </c>
      <c r="L1846" s="179">
        <v>5.31</v>
      </c>
      <c r="M1846" s="179">
        <v>4.88</v>
      </c>
      <c r="N1846" s="179">
        <v>4.87</v>
      </c>
      <c r="O1846" s="179">
        <v>4.7699999999999996</v>
      </c>
      <c r="P1846" s="179">
        <v>4.34</v>
      </c>
      <c r="Q1846" s="179">
        <f t="shared" si="55"/>
        <v>5.3916666666666666</v>
      </c>
      <c r="R1846" s="179" t="s">
        <v>994</v>
      </c>
    </row>
    <row r="1847" spans="1:18" x14ac:dyDescent="0.15">
      <c r="A1847" s="179" t="str">
        <f t="shared" si="54"/>
        <v>Tlalnepantla_Optimal Summer_90</v>
      </c>
      <c r="B1847" s="179" t="s">
        <v>1157</v>
      </c>
      <c r="C1847" s="179">
        <v>5</v>
      </c>
      <c r="D1847" s="179">
        <v>90</v>
      </c>
      <c r="E1847" s="179">
        <v>4</v>
      </c>
      <c r="F1847" s="179">
        <v>4.72</v>
      </c>
      <c r="G1847" s="179">
        <v>5.29</v>
      </c>
      <c r="H1847" s="179">
        <v>5.13</v>
      </c>
      <c r="I1847" s="179">
        <v>4.93</v>
      </c>
      <c r="J1847" s="179">
        <v>4.49</v>
      </c>
      <c r="K1847" s="179">
        <v>4.41</v>
      </c>
      <c r="L1847" s="179">
        <v>4.25</v>
      </c>
      <c r="M1847" s="179">
        <v>3.94</v>
      </c>
      <c r="N1847" s="179">
        <v>4</v>
      </c>
      <c r="O1847" s="179">
        <v>4</v>
      </c>
      <c r="P1847" s="179">
        <v>3.66</v>
      </c>
      <c r="Q1847" s="179">
        <f t="shared" si="55"/>
        <v>4.4016666666666664</v>
      </c>
      <c r="R1847" s="179" t="s">
        <v>958</v>
      </c>
    </row>
    <row r="1848" spans="1:18" x14ac:dyDescent="0.15">
      <c r="A1848" s="179" t="str">
        <f t="shared" si="54"/>
        <v>Tlalnepantla_Optimal Summer_112.5</v>
      </c>
      <c r="B1848" s="179" t="s">
        <v>1157</v>
      </c>
      <c r="C1848" s="179">
        <v>5</v>
      </c>
      <c r="D1848" s="179">
        <v>112.5</v>
      </c>
      <c r="E1848" s="179">
        <v>4.38</v>
      </c>
      <c r="F1848" s="179">
        <v>5.16</v>
      </c>
      <c r="G1848" s="179">
        <v>5.78</v>
      </c>
      <c r="H1848" s="179">
        <v>5.61</v>
      </c>
      <c r="I1848" s="179">
        <v>5.39</v>
      </c>
      <c r="J1848" s="179">
        <v>4.91</v>
      </c>
      <c r="K1848" s="179">
        <v>4.82</v>
      </c>
      <c r="L1848" s="179">
        <v>4.6500000000000004</v>
      </c>
      <c r="M1848" s="179">
        <v>4.3099999999999996</v>
      </c>
      <c r="N1848" s="179">
        <v>4.38</v>
      </c>
      <c r="O1848" s="179">
        <v>4.38</v>
      </c>
      <c r="P1848" s="179">
        <v>4</v>
      </c>
      <c r="Q1848" s="179">
        <f t="shared" si="55"/>
        <v>4.8141666666666669</v>
      </c>
      <c r="R1848" s="179" t="s">
        <v>958</v>
      </c>
    </row>
    <row r="1849" spans="1:18" x14ac:dyDescent="0.15">
      <c r="A1849" s="179" t="str">
        <f t="shared" si="54"/>
        <v>Tlalnepantla_Optimal Summer_135</v>
      </c>
      <c r="B1849" s="179" t="s">
        <v>1157</v>
      </c>
      <c r="C1849" s="179">
        <v>5</v>
      </c>
      <c r="D1849" s="179">
        <v>135</v>
      </c>
      <c r="E1849" s="179">
        <v>4.75</v>
      </c>
      <c r="F1849" s="179">
        <v>5.6</v>
      </c>
      <c r="G1849" s="179">
        <v>6.28</v>
      </c>
      <c r="H1849" s="179">
        <v>6.09</v>
      </c>
      <c r="I1849" s="179">
        <v>5.85</v>
      </c>
      <c r="J1849" s="179">
        <v>5.33</v>
      </c>
      <c r="K1849" s="179">
        <v>5.23</v>
      </c>
      <c r="L1849" s="179">
        <v>5.04</v>
      </c>
      <c r="M1849" s="179">
        <v>4.68</v>
      </c>
      <c r="N1849" s="179">
        <v>4.75</v>
      </c>
      <c r="O1849" s="179">
        <v>4.75</v>
      </c>
      <c r="P1849" s="179">
        <v>4.34</v>
      </c>
      <c r="Q1849" s="179">
        <f t="shared" si="55"/>
        <v>5.2241666666666662</v>
      </c>
      <c r="R1849" s="179" t="s">
        <v>958</v>
      </c>
    </row>
    <row r="1850" spans="1:18" x14ac:dyDescent="0.15">
      <c r="A1850" s="179" t="str">
        <f t="shared" si="54"/>
        <v>Tlalnepantla_Optimal Summer_157.5</v>
      </c>
      <c r="B1850" s="179" t="s">
        <v>1157</v>
      </c>
      <c r="C1850" s="179">
        <v>5</v>
      </c>
      <c r="D1850" s="179">
        <v>157.5</v>
      </c>
      <c r="E1850" s="179">
        <v>4.88</v>
      </c>
      <c r="F1850" s="179">
        <v>5.75</v>
      </c>
      <c r="G1850" s="179">
        <v>6.44</v>
      </c>
      <c r="H1850" s="179">
        <v>6.25</v>
      </c>
      <c r="I1850" s="179">
        <v>6.01</v>
      </c>
      <c r="J1850" s="179">
        <v>5.47</v>
      </c>
      <c r="K1850" s="179">
        <v>5.37</v>
      </c>
      <c r="L1850" s="179">
        <v>5.18</v>
      </c>
      <c r="M1850" s="179">
        <v>4.8099999999999996</v>
      </c>
      <c r="N1850" s="179">
        <v>4.88</v>
      </c>
      <c r="O1850" s="179">
        <v>4.88</v>
      </c>
      <c r="P1850" s="179">
        <v>4.46</v>
      </c>
      <c r="Q1850" s="179">
        <f t="shared" si="55"/>
        <v>5.3649999999999993</v>
      </c>
      <c r="R1850" s="179" t="s">
        <v>958</v>
      </c>
    </row>
    <row r="1851" spans="1:18" x14ac:dyDescent="0.15">
      <c r="A1851" s="179" t="str">
        <f t="shared" si="54"/>
        <v>Tlalnepantla_Optimal Summer_180</v>
      </c>
      <c r="B1851" s="179" t="s">
        <v>1157</v>
      </c>
      <c r="C1851" s="179">
        <v>5</v>
      </c>
      <c r="D1851" s="179">
        <v>180</v>
      </c>
      <c r="E1851" s="179">
        <v>5</v>
      </c>
      <c r="F1851" s="179">
        <v>5.9</v>
      </c>
      <c r="G1851" s="179">
        <v>6.61</v>
      </c>
      <c r="H1851" s="179">
        <v>6.41</v>
      </c>
      <c r="I1851" s="179">
        <v>6.16</v>
      </c>
      <c r="J1851" s="179">
        <v>5.61</v>
      </c>
      <c r="K1851" s="179">
        <v>5.51</v>
      </c>
      <c r="L1851" s="179">
        <v>5.31</v>
      </c>
      <c r="M1851" s="179">
        <v>4.93</v>
      </c>
      <c r="N1851" s="179">
        <v>5</v>
      </c>
      <c r="O1851" s="179">
        <v>5</v>
      </c>
      <c r="P1851" s="179">
        <v>4.57</v>
      </c>
      <c r="Q1851" s="179">
        <f t="shared" si="55"/>
        <v>5.5008333333333335</v>
      </c>
      <c r="R1851" s="179" t="s">
        <v>958</v>
      </c>
    </row>
    <row r="1852" spans="1:18" x14ac:dyDescent="0.15">
      <c r="A1852" s="179" t="str">
        <f t="shared" si="54"/>
        <v>Tlalnepantla_Optimal Summer_202.5</v>
      </c>
      <c r="B1852" s="179" t="s">
        <v>1157</v>
      </c>
      <c r="C1852" s="179">
        <v>5</v>
      </c>
      <c r="D1852" s="179">
        <v>202.5</v>
      </c>
      <c r="E1852" s="179">
        <v>4.88</v>
      </c>
      <c r="F1852" s="179">
        <v>5.75</v>
      </c>
      <c r="G1852" s="179">
        <v>6.44</v>
      </c>
      <c r="H1852" s="179">
        <v>6.25</v>
      </c>
      <c r="I1852" s="179">
        <v>6.01</v>
      </c>
      <c r="J1852" s="179">
        <v>5.47</v>
      </c>
      <c r="K1852" s="179">
        <v>5.37</v>
      </c>
      <c r="L1852" s="179">
        <v>5.18</v>
      </c>
      <c r="M1852" s="179">
        <v>4.8099999999999996</v>
      </c>
      <c r="N1852" s="179">
        <v>4.88</v>
      </c>
      <c r="O1852" s="179">
        <v>4.88</v>
      </c>
      <c r="P1852" s="179">
        <v>4.46</v>
      </c>
      <c r="Q1852" s="179">
        <f t="shared" si="55"/>
        <v>5.3649999999999993</v>
      </c>
      <c r="R1852" s="179" t="s">
        <v>958</v>
      </c>
    </row>
    <row r="1853" spans="1:18" x14ac:dyDescent="0.15">
      <c r="A1853" s="179" t="str">
        <f t="shared" si="54"/>
        <v>Tlalnepantla_Optimal Summer_225</v>
      </c>
      <c r="B1853" s="179" t="s">
        <v>1157</v>
      </c>
      <c r="C1853" s="179">
        <v>5</v>
      </c>
      <c r="D1853" s="179">
        <v>225</v>
      </c>
      <c r="E1853" s="179">
        <v>4.75</v>
      </c>
      <c r="F1853" s="179">
        <v>5.6</v>
      </c>
      <c r="G1853" s="179">
        <v>6.28</v>
      </c>
      <c r="H1853" s="179">
        <v>6.09</v>
      </c>
      <c r="I1853" s="179">
        <v>5.85</v>
      </c>
      <c r="J1853" s="179">
        <v>5.33</v>
      </c>
      <c r="K1853" s="179">
        <v>5.23</v>
      </c>
      <c r="L1853" s="179">
        <v>5.04</v>
      </c>
      <c r="M1853" s="179">
        <v>4.68</v>
      </c>
      <c r="N1853" s="179">
        <v>4.75</v>
      </c>
      <c r="O1853" s="179">
        <v>4.75</v>
      </c>
      <c r="P1853" s="179">
        <v>4.34</v>
      </c>
      <c r="Q1853" s="179">
        <f t="shared" si="55"/>
        <v>5.2241666666666662</v>
      </c>
      <c r="R1853" s="179" t="s">
        <v>958</v>
      </c>
    </row>
    <row r="1854" spans="1:18" x14ac:dyDescent="0.15">
      <c r="A1854" s="179" t="str">
        <f t="shared" si="54"/>
        <v>Tlalnepantla_Optimal Summer_247.5</v>
      </c>
      <c r="B1854" s="179" t="s">
        <v>1157</v>
      </c>
      <c r="C1854" s="179">
        <v>5</v>
      </c>
      <c r="D1854" s="179">
        <v>247.5</v>
      </c>
      <c r="E1854" s="179">
        <v>4.38</v>
      </c>
      <c r="F1854" s="179">
        <v>5.16</v>
      </c>
      <c r="G1854" s="179">
        <v>5.78</v>
      </c>
      <c r="H1854" s="179">
        <v>5.61</v>
      </c>
      <c r="I1854" s="179">
        <v>5.39</v>
      </c>
      <c r="J1854" s="179">
        <v>4.91</v>
      </c>
      <c r="K1854" s="179">
        <v>4.82</v>
      </c>
      <c r="L1854" s="179">
        <v>4.6500000000000004</v>
      </c>
      <c r="M1854" s="179">
        <v>4.3099999999999996</v>
      </c>
      <c r="N1854" s="179">
        <v>4.38</v>
      </c>
      <c r="O1854" s="179">
        <v>4.38</v>
      </c>
      <c r="P1854" s="179">
        <v>4</v>
      </c>
      <c r="Q1854" s="179">
        <f t="shared" si="55"/>
        <v>4.8141666666666669</v>
      </c>
      <c r="R1854" s="179" t="s">
        <v>958</v>
      </c>
    </row>
    <row r="1855" spans="1:18" x14ac:dyDescent="0.15">
      <c r="A1855" s="179" t="str">
        <f t="shared" si="54"/>
        <v>Tlalnepantla_Optimal Summer_270</v>
      </c>
      <c r="B1855" s="179" t="s">
        <v>1157</v>
      </c>
      <c r="C1855" s="179">
        <v>5</v>
      </c>
      <c r="D1855" s="179">
        <v>270</v>
      </c>
      <c r="E1855" s="179">
        <v>4</v>
      </c>
      <c r="F1855" s="179">
        <v>4.72</v>
      </c>
      <c r="G1855" s="179">
        <v>5.29</v>
      </c>
      <c r="H1855" s="179">
        <v>5.13</v>
      </c>
      <c r="I1855" s="179">
        <v>4.93</v>
      </c>
      <c r="J1855" s="179">
        <v>4.49</v>
      </c>
      <c r="K1855" s="179">
        <v>4.41</v>
      </c>
      <c r="L1855" s="179">
        <v>4.25</v>
      </c>
      <c r="M1855" s="179">
        <v>3.94</v>
      </c>
      <c r="N1855" s="179">
        <v>4</v>
      </c>
      <c r="O1855" s="179">
        <v>4</v>
      </c>
      <c r="P1855" s="179">
        <v>3.66</v>
      </c>
      <c r="Q1855" s="179">
        <f t="shared" si="55"/>
        <v>4.4016666666666664</v>
      </c>
      <c r="R1855" s="179" t="s">
        <v>958</v>
      </c>
    </row>
    <row r="1856" spans="1:18" x14ac:dyDescent="0.15">
      <c r="A1856" s="179" t="str">
        <f t="shared" si="54"/>
        <v>Tlalnepantla_Optimal Year Round_90</v>
      </c>
      <c r="B1856" s="179" t="s">
        <v>1157</v>
      </c>
      <c r="C1856" s="179">
        <v>20</v>
      </c>
      <c r="D1856" s="179">
        <v>90</v>
      </c>
      <c r="E1856" s="179">
        <v>4.62</v>
      </c>
      <c r="F1856" s="179">
        <v>5.22</v>
      </c>
      <c r="G1856" s="179">
        <v>5.5</v>
      </c>
      <c r="H1856" s="179">
        <v>5.03</v>
      </c>
      <c r="I1856" s="179">
        <v>4.63</v>
      </c>
      <c r="J1856" s="179">
        <v>4.47</v>
      </c>
      <c r="K1856" s="179">
        <v>4.37</v>
      </c>
      <c r="L1856" s="179">
        <v>4.1100000000000003</v>
      </c>
      <c r="M1856" s="179">
        <v>3.98</v>
      </c>
      <c r="N1856" s="179">
        <v>4.26</v>
      </c>
      <c r="O1856" s="179">
        <v>4.54</v>
      </c>
      <c r="P1856" s="179">
        <v>4.2300000000000004</v>
      </c>
      <c r="Q1856" s="179">
        <f t="shared" si="55"/>
        <v>4.5799999999999992</v>
      </c>
      <c r="R1856" s="179" t="s">
        <v>993</v>
      </c>
    </row>
    <row r="1857" spans="1:18" x14ac:dyDescent="0.15">
      <c r="A1857" s="179" t="str">
        <f t="shared" si="54"/>
        <v>Tlalnepantla_Optimal Year Round_112.5</v>
      </c>
      <c r="B1857" s="179" t="s">
        <v>1157</v>
      </c>
      <c r="C1857" s="179">
        <v>20</v>
      </c>
      <c r="D1857" s="179">
        <v>112.5</v>
      </c>
      <c r="E1857" s="179">
        <v>5.0599999999999996</v>
      </c>
      <c r="F1857" s="179">
        <v>5.7</v>
      </c>
      <c r="G1857" s="179">
        <v>6.02</v>
      </c>
      <c r="H1857" s="179">
        <v>5.5</v>
      </c>
      <c r="I1857" s="179">
        <v>5.07</v>
      </c>
      <c r="J1857" s="179">
        <v>4.8899999999999997</v>
      </c>
      <c r="K1857" s="179">
        <v>4.78</v>
      </c>
      <c r="L1857" s="179">
        <v>4.5</v>
      </c>
      <c r="M1857" s="179">
        <v>4.3499999999999996</v>
      </c>
      <c r="N1857" s="179">
        <v>4.66</v>
      </c>
      <c r="O1857" s="179">
        <v>4.97</v>
      </c>
      <c r="P1857" s="179">
        <v>4.63</v>
      </c>
      <c r="Q1857" s="179">
        <f t="shared" si="55"/>
        <v>5.0108333333333333</v>
      </c>
      <c r="R1857" s="179" t="s">
        <v>993</v>
      </c>
    </row>
    <row r="1858" spans="1:18" x14ac:dyDescent="0.15">
      <c r="A1858" s="179" t="str">
        <f t="shared" ref="A1858:A1921" si="56">B1858&amp;"_"&amp;R1858&amp;"_"&amp;D1858</f>
        <v>Tlalnepantla_Optimal Year Round_135</v>
      </c>
      <c r="B1858" s="179" t="s">
        <v>1157</v>
      </c>
      <c r="C1858" s="179">
        <v>20</v>
      </c>
      <c r="D1858" s="179">
        <v>135</v>
      </c>
      <c r="E1858" s="179">
        <v>5.49</v>
      </c>
      <c r="F1858" s="179">
        <v>6.19</v>
      </c>
      <c r="G1858" s="179">
        <v>6.54</v>
      </c>
      <c r="H1858" s="179">
        <v>5.98</v>
      </c>
      <c r="I1858" s="179">
        <v>5.5</v>
      </c>
      <c r="J1858" s="179">
        <v>5.31</v>
      </c>
      <c r="K1858" s="179">
        <v>5.19</v>
      </c>
      <c r="L1858" s="179">
        <v>4.88</v>
      </c>
      <c r="M1858" s="179">
        <v>4.72</v>
      </c>
      <c r="N1858" s="179">
        <v>5.0599999999999996</v>
      </c>
      <c r="O1858" s="179">
        <v>5.4</v>
      </c>
      <c r="P1858" s="179">
        <v>5.03</v>
      </c>
      <c r="Q1858" s="179">
        <f t="shared" ref="Q1858:Q1921" si="57">AVERAGE(E1858:P1858)</f>
        <v>5.440833333333333</v>
      </c>
      <c r="R1858" s="179" t="s">
        <v>993</v>
      </c>
    </row>
    <row r="1859" spans="1:18" x14ac:dyDescent="0.15">
      <c r="A1859" s="179" t="str">
        <f t="shared" si="56"/>
        <v>Tlalnepantla_Optimal Year Round_157.5</v>
      </c>
      <c r="B1859" s="179" t="s">
        <v>1157</v>
      </c>
      <c r="C1859" s="179">
        <v>20</v>
      </c>
      <c r="D1859" s="179">
        <v>157.5</v>
      </c>
      <c r="E1859" s="179">
        <v>5.64</v>
      </c>
      <c r="F1859" s="179">
        <v>6.36</v>
      </c>
      <c r="G1859" s="179">
        <v>6.71</v>
      </c>
      <c r="H1859" s="179">
        <v>6.13</v>
      </c>
      <c r="I1859" s="179">
        <v>5.65</v>
      </c>
      <c r="J1859" s="179">
        <v>5.45</v>
      </c>
      <c r="K1859" s="179">
        <v>5.32</v>
      </c>
      <c r="L1859" s="179">
        <v>5.01</v>
      </c>
      <c r="M1859" s="179">
        <v>4.8499999999999996</v>
      </c>
      <c r="N1859" s="179">
        <v>5.2</v>
      </c>
      <c r="O1859" s="179">
        <v>5.54</v>
      </c>
      <c r="P1859" s="179">
        <v>5.16</v>
      </c>
      <c r="Q1859" s="179">
        <f t="shared" si="57"/>
        <v>5.5850000000000009</v>
      </c>
      <c r="R1859" s="179" t="s">
        <v>993</v>
      </c>
    </row>
    <row r="1860" spans="1:18" x14ac:dyDescent="0.15">
      <c r="A1860" s="179" t="str">
        <f t="shared" si="56"/>
        <v>Tlalnepantla_Optimal Year Round_180</v>
      </c>
      <c r="B1860" s="179" t="s">
        <v>1157</v>
      </c>
      <c r="C1860" s="179">
        <v>20</v>
      </c>
      <c r="D1860" s="179">
        <v>180</v>
      </c>
      <c r="E1860" s="179">
        <v>5.78</v>
      </c>
      <c r="F1860" s="179">
        <v>6.52</v>
      </c>
      <c r="G1860" s="179">
        <v>6.88</v>
      </c>
      <c r="H1860" s="179">
        <v>6.29</v>
      </c>
      <c r="I1860" s="179">
        <v>5.79</v>
      </c>
      <c r="J1860" s="179">
        <v>5.59</v>
      </c>
      <c r="K1860" s="179">
        <v>5.46</v>
      </c>
      <c r="L1860" s="179">
        <v>5.14</v>
      </c>
      <c r="M1860" s="179">
        <v>4.97</v>
      </c>
      <c r="N1860" s="179">
        <v>5.33</v>
      </c>
      <c r="O1860" s="179">
        <v>5.68</v>
      </c>
      <c r="P1860" s="179">
        <v>5.29</v>
      </c>
      <c r="Q1860" s="179">
        <f t="shared" si="57"/>
        <v>5.7266666666666666</v>
      </c>
      <c r="R1860" s="179" t="s">
        <v>993</v>
      </c>
    </row>
    <row r="1861" spans="1:18" x14ac:dyDescent="0.15">
      <c r="A1861" s="179" t="str">
        <f t="shared" si="56"/>
        <v>Tlalnepantla_Optimal Year Round_202.5</v>
      </c>
      <c r="B1861" s="179" t="s">
        <v>1157</v>
      </c>
      <c r="C1861" s="179">
        <v>20</v>
      </c>
      <c r="D1861" s="179">
        <v>202.5</v>
      </c>
      <c r="E1861" s="179">
        <v>5.64</v>
      </c>
      <c r="F1861" s="179">
        <v>6.36</v>
      </c>
      <c r="G1861" s="179">
        <v>6.71</v>
      </c>
      <c r="H1861" s="179">
        <v>6.13</v>
      </c>
      <c r="I1861" s="179">
        <v>5.65</v>
      </c>
      <c r="J1861" s="179">
        <v>5.45</v>
      </c>
      <c r="K1861" s="179">
        <v>5.32</v>
      </c>
      <c r="L1861" s="179">
        <v>5.01</v>
      </c>
      <c r="M1861" s="179">
        <v>4.8499999999999996</v>
      </c>
      <c r="N1861" s="179">
        <v>5.2</v>
      </c>
      <c r="O1861" s="179">
        <v>5.54</v>
      </c>
      <c r="P1861" s="179">
        <v>5.16</v>
      </c>
      <c r="Q1861" s="179">
        <f t="shared" si="57"/>
        <v>5.5850000000000009</v>
      </c>
      <c r="R1861" s="179" t="s">
        <v>993</v>
      </c>
    </row>
    <row r="1862" spans="1:18" x14ac:dyDescent="0.15">
      <c r="A1862" s="179" t="str">
        <f t="shared" si="56"/>
        <v>Tlalnepantla_Optimal Year Round_225</v>
      </c>
      <c r="B1862" s="179" t="s">
        <v>1157</v>
      </c>
      <c r="C1862" s="179">
        <v>20</v>
      </c>
      <c r="D1862" s="179">
        <v>225</v>
      </c>
      <c r="E1862" s="179">
        <v>5.49</v>
      </c>
      <c r="F1862" s="179">
        <v>6.19</v>
      </c>
      <c r="G1862" s="179">
        <v>6.54</v>
      </c>
      <c r="H1862" s="179">
        <v>5.98</v>
      </c>
      <c r="I1862" s="179">
        <v>5.5</v>
      </c>
      <c r="J1862" s="179">
        <v>5.31</v>
      </c>
      <c r="K1862" s="179">
        <v>5.19</v>
      </c>
      <c r="L1862" s="179">
        <v>4.88</v>
      </c>
      <c r="M1862" s="179">
        <v>4.72</v>
      </c>
      <c r="N1862" s="179">
        <v>5.0599999999999996</v>
      </c>
      <c r="O1862" s="179">
        <v>5.4</v>
      </c>
      <c r="P1862" s="179">
        <v>5.03</v>
      </c>
      <c r="Q1862" s="179">
        <f t="shared" si="57"/>
        <v>5.440833333333333</v>
      </c>
      <c r="R1862" s="179" t="s">
        <v>993</v>
      </c>
    </row>
    <row r="1863" spans="1:18" x14ac:dyDescent="0.15">
      <c r="A1863" s="179" t="str">
        <f t="shared" si="56"/>
        <v>Tlalnepantla_Optimal Year Round_247.5</v>
      </c>
      <c r="B1863" s="179" t="s">
        <v>1157</v>
      </c>
      <c r="C1863" s="179">
        <v>20</v>
      </c>
      <c r="D1863" s="179">
        <v>247.5</v>
      </c>
      <c r="E1863" s="179">
        <v>5.0599999999999996</v>
      </c>
      <c r="F1863" s="179">
        <v>5.7</v>
      </c>
      <c r="G1863" s="179">
        <v>6.02</v>
      </c>
      <c r="H1863" s="179">
        <v>5.5</v>
      </c>
      <c r="I1863" s="179">
        <v>5.07</v>
      </c>
      <c r="J1863" s="179">
        <v>4.8899999999999997</v>
      </c>
      <c r="K1863" s="179">
        <v>4.78</v>
      </c>
      <c r="L1863" s="179">
        <v>4.5</v>
      </c>
      <c r="M1863" s="179">
        <v>4.3499999999999996</v>
      </c>
      <c r="N1863" s="179">
        <v>4.66</v>
      </c>
      <c r="O1863" s="179">
        <v>4.97</v>
      </c>
      <c r="P1863" s="179">
        <v>4.63</v>
      </c>
      <c r="Q1863" s="179">
        <f t="shared" si="57"/>
        <v>5.0108333333333333</v>
      </c>
      <c r="R1863" s="179" t="s">
        <v>993</v>
      </c>
    </row>
    <row r="1864" spans="1:18" x14ac:dyDescent="0.15">
      <c r="A1864" s="179" t="str">
        <f t="shared" si="56"/>
        <v>Tlalnepantla_Optimal Year Round_270</v>
      </c>
      <c r="B1864" s="179" t="s">
        <v>1157</v>
      </c>
      <c r="C1864" s="179">
        <v>20</v>
      </c>
      <c r="D1864" s="179">
        <v>270</v>
      </c>
      <c r="E1864" s="179">
        <v>4.62</v>
      </c>
      <c r="F1864" s="179">
        <v>5.22</v>
      </c>
      <c r="G1864" s="179">
        <v>5.5</v>
      </c>
      <c r="H1864" s="179">
        <v>5.03</v>
      </c>
      <c r="I1864" s="179">
        <v>4.63</v>
      </c>
      <c r="J1864" s="179">
        <v>4.47</v>
      </c>
      <c r="K1864" s="179">
        <v>4.37</v>
      </c>
      <c r="L1864" s="179">
        <v>4.1100000000000003</v>
      </c>
      <c r="M1864" s="179">
        <v>3.98</v>
      </c>
      <c r="N1864" s="179">
        <v>4.26</v>
      </c>
      <c r="O1864" s="179">
        <v>4.54</v>
      </c>
      <c r="P1864" s="179">
        <v>4.2300000000000004</v>
      </c>
      <c r="Q1864" s="179">
        <f t="shared" si="57"/>
        <v>4.5799999999999992</v>
      </c>
      <c r="R1864" s="179" t="s">
        <v>993</v>
      </c>
    </row>
    <row r="1865" spans="1:18" x14ac:dyDescent="0.15">
      <c r="A1865" s="179" t="str">
        <f t="shared" si="56"/>
        <v>Tlalpan_Flat Surface_90</v>
      </c>
      <c r="B1865" s="179" t="s">
        <v>1158</v>
      </c>
      <c r="C1865" s="179">
        <v>0</v>
      </c>
      <c r="D1865" s="179">
        <v>90</v>
      </c>
      <c r="E1865" s="179">
        <v>4.74</v>
      </c>
      <c r="F1865" s="179">
        <v>5.68</v>
      </c>
      <c r="G1865" s="179">
        <v>6.47</v>
      </c>
      <c r="H1865" s="179">
        <v>6.38</v>
      </c>
      <c r="I1865" s="179">
        <v>6.21</v>
      </c>
      <c r="J1865" s="179">
        <v>5.57</v>
      </c>
      <c r="K1865" s="179">
        <v>5.48</v>
      </c>
      <c r="L1865" s="179">
        <v>5.31</v>
      </c>
      <c r="M1865" s="179">
        <v>4.88</v>
      </c>
      <c r="N1865" s="179">
        <v>4.87</v>
      </c>
      <c r="O1865" s="179">
        <v>4.7699999999999996</v>
      </c>
      <c r="P1865" s="179">
        <v>4.34</v>
      </c>
      <c r="Q1865" s="179">
        <f t="shared" si="57"/>
        <v>5.3916666666666666</v>
      </c>
      <c r="R1865" s="179" t="s">
        <v>994</v>
      </c>
    </row>
    <row r="1866" spans="1:18" x14ac:dyDescent="0.15">
      <c r="A1866" s="179" t="str">
        <f t="shared" si="56"/>
        <v>Tlalpan_Flat Surface_112.5</v>
      </c>
      <c r="B1866" s="179" t="s">
        <v>1158</v>
      </c>
      <c r="C1866" s="179">
        <v>0</v>
      </c>
      <c r="D1866" s="179">
        <v>112.5</v>
      </c>
      <c r="E1866" s="179">
        <v>4.74</v>
      </c>
      <c r="F1866" s="179">
        <v>5.68</v>
      </c>
      <c r="G1866" s="179">
        <v>6.47</v>
      </c>
      <c r="H1866" s="179">
        <v>6.38</v>
      </c>
      <c r="I1866" s="179">
        <v>6.21</v>
      </c>
      <c r="J1866" s="179">
        <v>5.57</v>
      </c>
      <c r="K1866" s="179">
        <v>5.48</v>
      </c>
      <c r="L1866" s="179">
        <v>5.31</v>
      </c>
      <c r="M1866" s="179">
        <v>4.88</v>
      </c>
      <c r="N1866" s="179">
        <v>4.87</v>
      </c>
      <c r="O1866" s="179">
        <v>4.7699999999999996</v>
      </c>
      <c r="P1866" s="179">
        <v>4.34</v>
      </c>
      <c r="Q1866" s="179">
        <f t="shared" si="57"/>
        <v>5.3916666666666666</v>
      </c>
      <c r="R1866" s="179" t="s">
        <v>994</v>
      </c>
    </row>
    <row r="1867" spans="1:18" x14ac:dyDescent="0.15">
      <c r="A1867" s="179" t="str">
        <f t="shared" si="56"/>
        <v>Tlalpan_Flat Surface_135</v>
      </c>
      <c r="B1867" s="179" t="s">
        <v>1158</v>
      </c>
      <c r="C1867" s="179">
        <v>0</v>
      </c>
      <c r="D1867" s="179">
        <v>135</v>
      </c>
      <c r="E1867" s="179">
        <v>4.74</v>
      </c>
      <c r="F1867" s="179">
        <v>5.68</v>
      </c>
      <c r="G1867" s="179">
        <v>6.47</v>
      </c>
      <c r="H1867" s="179">
        <v>6.38</v>
      </c>
      <c r="I1867" s="179">
        <v>6.21</v>
      </c>
      <c r="J1867" s="179">
        <v>5.57</v>
      </c>
      <c r="K1867" s="179">
        <v>5.48</v>
      </c>
      <c r="L1867" s="179">
        <v>5.31</v>
      </c>
      <c r="M1867" s="179">
        <v>4.88</v>
      </c>
      <c r="N1867" s="179">
        <v>4.87</v>
      </c>
      <c r="O1867" s="179">
        <v>4.7699999999999996</v>
      </c>
      <c r="P1867" s="179">
        <v>4.34</v>
      </c>
      <c r="Q1867" s="179">
        <f t="shared" si="57"/>
        <v>5.3916666666666666</v>
      </c>
      <c r="R1867" s="179" t="s">
        <v>994</v>
      </c>
    </row>
    <row r="1868" spans="1:18" x14ac:dyDescent="0.15">
      <c r="A1868" s="179" t="str">
        <f t="shared" si="56"/>
        <v>Tlalpan_Flat Surface_157.5</v>
      </c>
      <c r="B1868" s="179" t="s">
        <v>1158</v>
      </c>
      <c r="C1868" s="179">
        <v>0</v>
      </c>
      <c r="D1868" s="179">
        <v>157.5</v>
      </c>
      <c r="E1868" s="179">
        <v>4.74</v>
      </c>
      <c r="F1868" s="179">
        <v>5.68</v>
      </c>
      <c r="G1868" s="179">
        <v>6.47</v>
      </c>
      <c r="H1868" s="179">
        <v>6.38</v>
      </c>
      <c r="I1868" s="179">
        <v>6.21</v>
      </c>
      <c r="J1868" s="179">
        <v>5.57</v>
      </c>
      <c r="K1868" s="179">
        <v>5.48</v>
      </c>
      <c r="L1868" s="179">
        <v>5.31</v>
      </c>
      <c r="M1868" s="179">
        <v>4.88</v>
      </c>
      <c r="N1868" s="179">
        <v>4.87</v>
      </c>
      <c r="O1868" s="179">
        <v>4.7699999999999996</v>
      </c>
      <c r="P1868" s="179">
        <v>4.34</v>
      </c>
      <c r="Q1868" s="179">
        <f t="shared" si="57"/>
        <v>5.3916666666666666</v>
      </c>
      <c r="R1868" s="179" t="s">
        <v>994</v>
      </c>
    </row>
    <row r="1869" spans="1:18" x14ac:dyDescent="0.15">
      <c r="A1869" s="179" t="str">
        <f t="shared" si="56"/>
        <v>Tlalpan_Flat Surface_180</v>
      </c>
      <c r="B1869" s="179" t="s">
        <v>1158</v>
      </c>
      <c r="C1869" s="179">
        <v>0</v>
      </c>
      <c r="D1869" s="179">
        <v>180</v>
      </c>
      <c r="E1869" s="179">
        <v>4.74</v>
      </c>
      <c r="F1869" s="179">
        <v>5.68</v>
      </c>
      <c r="G1869" s="179">
        <v>6.47</v>
      </c>
      <c r="H1869" s="179">
        <v>6.38</v>
      </c>
      <c r="I1869" s="179">
        <v>6.21</v>
      </c>
      <c r="J1869" s="179">
        <v>5.57</v>
      </c>
      <c r="K1869" s="179">
        <v>5.48</v>
      </c>
      <c r="L1869" s="179">
        <v>5.31</v>
      </c>
      <c r="M1869" s="179">
        <v>4.88</v>
      </c>
      <c r="N1869" s="179">
        <v>4.87</v>
      </c>
      <c r="O1869" s="179">
        <v>4.7699999999999996</v>
      </c>
      <c r="P1869" s="179">
        <v>4.34</v>
      </c>
      <c r="Q1869" s="179">
        <f t="shared" si="57"/>
        <v>5.3916666666666666</v>
      </c>
      <c r="R1869" s="179" t="s">
        <v>994</v>
      </c>
    </row>
    <row r="1870" spans="1:18" x14ac:dyDescent="0.15">
      <c r="A1870" s="179" t="str">
        <f t="shared" si="56"/>
        <v>Tlalpan_Flat Surface_202.5</v>
      </c>
      <c r="B1870" s="179" t="s">
        <v>1158</v>
      </c>
      <c r="C1870" s="179">
        <v>0</v>
      </c>
      <c r="D1870" s="179">
        <v>202.5</v>
      </c>
      <c r="E1870" s="179">
        <v>4.74</v>
      </c>
      <c r="F1870" s="179">
        <v>5.68</v>
      </c>
      <c r="G1870" s="179">
        <v>6.47</v>
      </c>
      <c r="H1870" s="179">
        <v>6.38</v>
      </c>
      <c r="I1870" s="179">
        <v>6.21</v>
      </c>
      <c r="J1870" s="179">
        <v>5.57</v>
      </c>
      <c r="K1870" s="179">
        <v>5.48</v>
      </c>
      <c r="L1870" s="179">
        <v>5.31</v>
      </c>
      <c r="M1870" s="179">
        <v>4.88</v>
      </c>
      <c r="N1870" s="179">
        <v>4.87</v>
      </c>
      <c r="O1870" s="179">
        <v>4.7699999999999996</v>
      </c>
      <c r="P1870" s="179">
        <v>4.34</v>
      </c>
      <c r="Q1870" s="179">
        <f t="shared" si="57"/>
        <v>5.3916666666666666</v>
      </c>
      <c r="R1870" s="179" t="s">
        <v>994</v>
      </c>
    </row>
    <row r="1871" spans="1:18" x14ac:dyDescent="0.15">
      <c r="A1871" s="179" t="str">
        <f t="shared" si="56"/>
        <v>Tlalpan_Flat Surface_225</v>
      </c>
      <c r="B1871" s="179" t="s">
        <v>1158</v>
      </c>
      <c r="C1871" s="179">
        <v>0</v>
      </c>
      <c r="D1871" s="179">
        <v>225</v>
      </c>
      <c r="E1871" s="179">
        <v>4.74</v>
      </c>
      <c r="F1871" s="179">
        <v>5.68</v>
      </c>
      <c r="G1871" s="179">
        <v>6.47</v>
      </c>
      <c r="H1871" s="179">
        <v>6.38</v>
      </c>
      <c r="I1871" s="179">
        <v>6.21</v>
      </c>
      <c r="J1871" s="179">
        <v>5.57</v>
      </c>
      <c r="K1871" s="179">
        <v>5.48</v>
      </c>
      <c r="L1871" s="179">
        <v>5.31</v>
      </c>
      <c r="M1871" s="179">
        <v>4.88</v>
      </c>
      <c r="N1871" s="179">
        <v>4.87</v>
      </c>
      <c r="O1871" s="179">
        <v>4.7699999999999996</v>
      </c>
      <c r="P1871" s="179">
        <v>4.34</v>
      </c>
      <c r="Q1871" s="179">
        <f t="shared" si="57"/>
        <v>5.3916666666666666</v>
      </c>
      <c r="R1871" s="179" t="s">
        <v>994</v>
      </c>
    </row>
    <row r="1872" spans="1:18" x14ac:dyDescent="0.15">
      <c r="A1872" s="179" t="str">
        <f t="shared" si="56"/>
        <v>Tlalpan_Flat Surface_247.5</v>
      </c>
      <c r="B1872" s="179" t="s">
        <v>1158</v>
      </c>
      <c r="C1872" s="179">
        <v>0</v>
      </c>
      <c r="D1872" s="179">
        <v>247.5</v>
      </c>
      <c r="E1872" s="179">
        <v>4.74</v>
      </c>
      <c r="F1872" s="179">
        <v>5.68</v>
      </c>
      <c r="G1872" s="179">
        <v>6.47</v>
      </c>
      <c r="H1872" s="179">
        <v>6.38</v>
      </c>
      <c r="I1872" s="179">
        <v>6.21</v>
      </c>
      <c r="J1872" s="179">
        <v>5.57</v>
      </c>
      <c r="K1872" s="179">
        <v>5.48</v>
      </c>
      <c r="L1872" s="179">
        <v>5.31</v>
      </c>
      <c r="M1872" s="179">
        <v>4.88</v>
      </c>
      <c r="N1872" s="179">
        <v>4.87</v>
      </c>
      <c r="O1872" s="179">
        <v>4.7699999999999996</v>
      </c>
      <c r="P1872" s="179">
        <v>4.34</v>
      </c>
      <c r="Q1872" s="179">
        <f t="shared" si="57"/>
        <v>5.3916666666666666</v>
      </c>
      <c r="R1872" s="179" t="s">
        <v>994</v>
      </c>
    </row>
    <row r="1873" spans="1:18" x14ac:dyDescent="0.15">
      <c r="A1873" s="179" t="str">
        <f t="shared" si="56"/>
        <v>Tlalpan_Flat Surface_270</v>
      </c>
      <c r="B1873" s="179" t="s">
        <v>1158</v>
      </c>
      <c r="C1873" s="179">
        <v>0</v>
      </c>
      <c r="D1873" s="179">
        <v>270</v>
      </c>
      <c r="E1873" s="179">
        <v>4.74</v>
      </c>
      <c r="F1873" s="179">
        <v>5.68</v>
      </c>
      <c r="G1873" s="179">
        <v>6.47</v>
      </c>
      <c r="H1873" s="179">
        <v>6.38</v>
      </c>
      <c r="I1873" s="179">
        <v>6.21</v>
      </c>
      <c r="J1873" s="179">
        <v>5.57</v>
      </c>
      <c r="K1873" s="179">
        <v>5.48</v>
      </c>
      <c r="L1873" s="179">
        <v>5.31</v>
      </c>
      <c r="M1873" s="179">
        <v>4.88</v>
      </c>
      <c r="N1873" s="179">
        <v>4.87</v>
      </c>
      <c r="O1873" s="179">
        <v>4.7699999999999996</v>
      </c>
      <c r="P1873" s="179">
        <v>4.34</v>
      </c>
      <c r="Q1873" s="179">
        <f t="shared" si="57"/>
        <v>5.3916666666666666</v>
      </c>
      <c r="R1873" s="179" t="s">
        <v>994</v>
      </c>
    </row>
    <row r="1874" spans="1:18" x14ac:dyDescent="0.15">
      <c r="A1874" s="179" t="str">
        <f t="shared" si="56"/>
        <v>Tlalpan_Optimal Summer_90</v>
      </c>
      <c r="B1874" s="179" t="s">
        <v>1158</v>
      </c>
      <c r="C1874" s="179">
        <v>4</v>
      </c>
      <c r="D1874" s="179">
        <v>90</v>
      </c>
      <c r="E1874" s="179">
        <v>4</v>
      </c>
      <c r="F1874" s="179">
        <v>4.72</v>
      </c>
      <c r="G1874" s="179">
        <v>5.29</v>
      </c>
      <c r="H1874" s="179">
        <v>5.13</v>
      </c>
      <c r="I1874" s="179">
        <v>4.93</v>
      </c>
      <c r="J1874" s="179">
        <v>4.49</v>
      </c>
      <c r="K1874" s="179">
        <v>4.41</v>
      </c>
      <c r="L1874" s="179">
        <v>4.25</v>
      </c>
      <c r="M1874" s="179">
        <v>3.94</v>
      </c>
      <c r="N1874" s="179">
        <v>4</v>
      </c>
      <c r="O1874" s="179">
        <v>4</v>
      </c>
      <c r="P1874" s="179">
        <v>3.66</v>
      </c>
      <c r="Q1874" s="179">
        <f t="shared" si="57"/>
        <v>4.4016666666666664</v>
      </c>
      <c r="R1874" s="179" t="s">
        <v>958</v>
      </c>
    </row>
    <row r="1875" spans="1:18" x14ac:dyDescent="0.15">
      <c r="A1875" s="179" t="str">
        <f t="shared" si="56"/>
        <v>Tlalpan_Optimal Summer_112.5</v>
      </c>
      <c r="B1875" s="179" t="s">
        <v>1158</v>
      </c>
      <c r="C1875" s="179">
        <v>4</v>
      </c>
      <c r="D1875" s="179">
        <v>112.5</v>
      </c>
      <c r="E1875" s="179">
        <v>4.38</v>
      </c>
      <c r="F1875" s="179">
        <v>5.16</v>
      </c>
      <c r="G1875" s="179">
        <v>5.78</v>
      </c>
      <c r="H1875" s="179">
        <v>5.61</v>
      </c>
      <c r="I1875" s="179">
        <v>5.39</v>
      </c>
      <c r="J1875" s="179">
        <v>4.91</v>
      </c>
      <c r="K1875" s="179">
        <v>4.82</v>
      </c>
      <c r="L1875" s="179">
        <v>4.6500000000000004</v>
      </c>
      <c r="M1875" s="179">
        <v>4.3099999999999996</v>
      </c>
      <c r="N1875" s="179">
        <v>4.38</v>
      </c>
      <c r="O1875" s="179">
        <v>4.38</v>
      </c>
      <c r="P1875" s="179">
        <v>4</v>
      </c>
      <c r="Q1875" s="179">
        <f t="shared" si="57"/>
        <v>4.8141666666666669</v>
      </c>
      <c r="R1875" s="179" t="s">
        <v>958</v>
      </c>
    </row>
    <row r="1876" spans="1:18" x14ac:dyDescent="0.15">
      <c r="A1876" s="179" t="str">
        <f t="shared" si="56"/>
        <v>Tlalpan_Optimal Summer_135</v>
      </c>
      <c r="B1876" s="179" t="s">
        <v>1158</v>
      </c>
      <c r="C1876" s="179">
        <v>4</v>
      </c>
      <c r="D1876" s="179">
        <v>135</v>
      </c>
      <c r="E1876" s="179">
        <v>4.75</v>
      </c>
      <c r="F1876" s="179">
        <v>5.6</v>
      </c>
      <c r="G1876" s="179">
        <v>6.28</v>
      </c>
      <c r="H1876" s="179">
        <v>6.09</v>
      </c>
      <c r="I1876" s="179">
        <v>5.85</v>
      </c>
      <c r="J1876" s="179">
        <v>5.33</v>
      </c>
      <c r="K1876" s="179">
        <v>5.23</v>
      </c>
      <c r="L1876" s="179">
        <v>5.04</v>
      </c>
      <c r="M1876" s="179">
        <v>4.68</v>
      </c>
      <c r="N1876" s="179">
        <v>4.75</v>
      </c>
      <c r="O1876" s="179">
        <v>4.75</v>
      </c>
      <c r="P1876" s="179">
        <v>4.34</v>
      </c>
      <c r="Q1876" s="179">
        <f t="shared" si="57"/>
        <v>5.2241666666666662</v>
      </c>
      <c r="R1876" s="179" t="s">
        <v>958</v>
      </c>
    </row>
    <row r="1877" spans="1:18" x14ac:dyDescent="0.15">
      <c r="A1877" s="179" t="str">
        <f t="shared" si="56"/>
        <v>Tlalpan_Optimal Summer_157.5</v>
      </c>
      <c r="B1877" s="179" t="s">
        <v>1158</v>
      </c>
      <c r="C1877" s="179">
        <v>4</v>
      </c>
      <c r="D1877" s="179">
        <v>157.5</v>
      </c>
      <c r="E1877" s="179">
        <v>4.88</v>
      </c>
      <c r="F1877" s="179">
        <v>5.75</v>
      </c>
      <c r="G1877" s="179">
        <v>6.44</v>
      </c>
      <c r="H1877" s="179">
        <v>6.25</v>
      </c>
      <c r="I1877" s="179">
        <v>6.01</v>
      </c>
      <c r="J1877" s="179">
        <v>5.47</v>
      </c>
      <c r="K1877" s="179">
        <v>5.37</v>
      </c>
      <c r="L1877" s="179">
        <v>5.18</v>
      </c>
      <c r="M1877" s="179">
        <v>4.8099999999999996</v>
      </c>
      <c r="N1877" s="179">
        <v>4.88</v>
      </c>
      <c r="O1877" s="179">
        <v>4.88</v>
      </c>
      <c r="P1877" s="179">
        <v>4.46</v>
      </c>
      <c r="Q1877" s="179">
        <f t="shared" si="57"/>
        <v>5.3649999999999993</v>
      </c>
      <c r="R1877" s="179" t="s">
        <v>958</v>
      </c>
    </row>
    <row r="1878" spans="1:18" x14ac:dyDescent="0.15">
      <c r="A1878" s="179" t="str">
        <f t="shared" si="56"/>
        <v>Tlalpan_Optimal Summer_180</v>
      </c>
      <c r="B1878" s="179" t="s">
        <v>1158</v>
      </c>
      <c r="C1878" s="179">
        <v>4</v>
      </c>
      <c r="D1878" s="179">
        <v>180</v>
      </c>
      <c r="E1878" s="179">
        <v>5</v>
      </c>
      <c r="F1878" s="179">
        <v>5.9</v>
      </c>
      <c r="G1878" s="179">
        <v>6.61</v>
      </c>
      <c r="H1878" s="179">
        <v>6.41</v>
      </c>
      <c r="I1878" s="179">
        <v>6.16</v>
      </c>
      <c r="J1878" s="179">
        <v>5.61</v>
      </c>
      <c r="K1878" s="179">
        <v>5.51</v>
      </c>
      <c r="L1878" s="179">
        <v>5.31</v>
      </c>
      <c r="M1878" s="179">
        <v>4.93</v>
      </c>
      <c r="N1878" s="179">
        <v>5</v>
      </c>
      <c r="O1878" s="179">
        <v>5</v>
      </c>
      <c r="P1878" s="179">
        <v>4.57</v>
      </c>
      <c r="Q1878" s="179">
        <f t="shared" si="57"/>
        <v>5.5008333333333335</v>
      </c>
      <c r="R1878" s="179" t="s">
        <v>958</v>
      </c>
    </row>
    <row r="1879" spans="1:18" x14ac:dyDescent="0.15">
      <c r="A1879" s="179" t="str">
        <f t="shared" si="56"/>
        <v>Tlalpan_Optimal Summer_202.5</v>
      </c>
      <c r="B1879" s="179" t="s">
        <v>1158</v>
      </c>
      <c r="C1879" s="179">
        <v>4</v>
      </c>
      <c r="D1879" s="179">
        <v>202.5</v>
      </c>
      <c r="E1879" s="179">
        <v>4.88</v>
      </c>
      <c r="F1879" s="179">
        <v>5.75</v>
      </c>
      <c r="G1879" s="179">
        <v>6.44</v>
      </c>
      <c r="H1879" s="179">
        <v>6.25</v>
      </c>
      <c r="I1879" s="179">
        <v>6.01</v>
      </c>
      <c r="J1879" s="179">
        <v>5.47</v>
      </c>
      <c r="K1879" s="179">
        <v>5.37</v>
      </c>
      <c r="L1879" s="179">
        <v>5.18</v>
      </c>
      <c r="M1879" s="179">
        <v>4.8099999999999996</v>
      </c>
      <c r="N1879" s="179">
        <v>4.88</v>
      </c>
      <c r="O1879" s="179">
        <v>4.88</v>
      </c>
      <c r="P1879" s="179">
        <v>4.46</v>
      </c>
      <c r="Q1879" s="179">
        <f t="shared" si="57"/>
        <v>5.3649999999999993</v>
      </c>
      <c r="R1879" s="179" t="s">
        <v>958</v>
      </c>
    </row>
    <row r="1880" spans="1:18" x14ac:dyDescent="0.15">
      <c r="A1880" s="179" t="str">
        <f t="shared" si="56"/>
        <v>Tlalpan_Optimal Summer_225</v>
      </c>
      <c r="B1880" s="179" t="s">
        <v>1158</v>
      </c>
      <c r="C1880" s="179">
        <v>4</v>
      </c>
      <c r="D1880" s="179">
        <v>225</v>
      </c>
      <c r="E1880" s="179">
        <v>4.75</v>
      </c>
      <c r="F1880" s="179">
        <v>5.6</v>
      </c>
      <c r="G1880" s="179">
        <v>6.28</v>
      </c>
      <c r="H1880" s="179">
        <v>6.09</v>
      </c>
      <c r="I1880" s="179">
        <v>5.85</v>
      </c>
      <c r="J1880" s="179">
        <v>5.33</v>
      </c>
      <c r="K1880" s="179">
        <v>5.23</v>
      </c>
      <c r="L1880" s="179">
        <v>5.04</v>
      </c>
      <c r="M1880" s="179">
        <v>4.68</v>
      </c>
      <c r="N1880" s="179">
        <v>4.75</v>
      </c>
      <c r="O1880" s="179">
        <v>4.75</v>
      </c>
      <c r="P1880" s="179">
        <v>4.34</v>
      </c>
      <c r="Q1880" s="179">
        <f t="shared" si="57"/>
        <v>5.2241666666666662</v>
      </c>
      <c r="R1880" s="179" t="s">
        <v>958</v>
      </c>
    </row>
    <row r="1881" spans="1:18" x14ac:dyDescent="0.15">
      <c r="A1881" s="179" t="str">
        <f t="shared" si="56"/>
        <v>Tlalpan_Optimal Summer_247.5</v>
      </c>
      <c r="B1881" s="179" t="s">
        <v>1158</v>
      </c>
      <c r="C1881" s="179">
        <v>4</v>
      </c>
      <c r="D1881" s="179">
        <v>247.5</v>
      </c>
      <c r="E1881" s="179">
        <v>4.38</v>
      </c>
      <c r="F1881" s="179">
        <v>5.16</v>
      </c>
      <c r="G1881" s="179">
        <v>5.78</v>
      </c>
      <c r="H1881" s="179">
        <v>5.61</v>
      </c>
      <c r="I1881" s="179">
        <v>5.39</v>
      </c>
      <c r="J1881" s="179">
        <v>4.91</v>
      </c>
      <c r="K1881" s="179">
        <v>4.82</v>
      </c>
      <c r="L1881" s="179">
        <v>4.6500000000000004</v>
      </c>
      <c r="M1881" s="179">
        <v>4.3099999999999996</v>
      </c>
      <c r="N1881" s="179">
        <v>4.38</v>
      </c>
      <c r="O1881" s="179">
        <v>4.38</v>
      </c>
      <c r="P1881" s="179">
        <v>4</v>
      </c>
      <c r="Q1881" s="179">
        <f t="shared" si="57"/>
        <v>4.8141666666666669</v>
      </c>
      <c r="R1881" s="179" t="s">
        <v>958</v>
      </c>
    </row>
    <row r="1882" spans="1:18" x14ac:dyDescent="0.15">
      <c r="A1882" s="179" t="str">
        <f t="shared" si="56"/>
        <v>Tlalpan_Optimal Summer_270</v>
      </c>
      <c r="B1882" s="179" t="s">
        <v>1158</v>
      </c>
      <c r="C1882" s="179">
        <v>4</v>
      </c>
      <c r="D1882" s="179">
        <v>270</v>
      </c>
      <c r="E1882" s="179">
        <v>4</v>
      </c>
      <c r="F1882" s="179">
        <v>4.72</v>
      </c>
      <c r="G1882" s="179">
        <v>5.29</v>
      </c>
      <c r="H1882" s="179">
        <v>5.13</v>
      </c>
      <c r="I1882" s="179">
        <v>4.93</v>
      </c>
      <c r="J1882" s="179">
        <v>4.49</v>
      </c>
      <c r="K1882" s="179">
        <v>4.41</v>
      </c>
      <c r="L1882" s="179">
        <v>4.25</v>
      </c>
      <c r="M1882" s="179">
        <v>3.94</v>
      </c>
      <c r="N1882" s="179">
        <v>4</v>
      </c>
      <c r="O1882" s="179">
        <v>4</v>
      </c>
      <c r="P1882" s="179">
        <v>3.66</v>
      </c>
      <c r="Q1882" s="179">
        <f t="shared" si="57"/>
        <v>4.4016666666666664</v>
      </c>
      <c r="R1882" s="179" t="s">
        <v>958</v>
      </c>
    </row>
    <row r="1883" spans="1:18" x14ac:dyDescent="0.15">
      <c r="A1883" s="179" t="str">
        <f t="shared" si="56"/>
        <v>Tlalpan_Optimal Year Round_90</v>
      </c>
      <c r="B1883" s="179" t="s">
        <v>1158</v>
      </c>
      <c r="C1883" s="179">
        <v>19</v>
      </c>
      <c r="D1883" s="179">
        <v>90</v>
      </c>
      <c r="E1883" s="179">
        <v>4.62</v>
      </c>
      <c r="F1883" s="179">
        <v>5.21</v>
      </c>
      <c r="G1883" s="179">
        <v>5.5</v>
      </c>
      <c r="H1883" s="179">
        <v>5.03</v>
      </c>
      <c r="I1883" s="179">
        <v>4.62</v>
      </c>
      <c r="J1883" s="179">
        <v>4.47</v>
      </c>
      <c r="K1883" s="179">
        <v>4.37</v>
      </c>
      <c r="L1883" s="179">
        <v>4.0999999999999996</v>
      </c>
      <c r="M1883" s="179">
        <v>3.97</v>
      </c>
      <c r="N1883" s="179">
        <v>4.26</v>
      </c>
      <c r="O1883" s="179">
        <v>4.54</v>
      </c>
      <c r="P1883" s="179">
        <v>4.22</v>
      </c>
      <c r="Q1883" s="179">
        <f t="shared" si="57"/>
        <v>4.5758333333333328</v>
      </c>
      <c r="R1883" s="179" t="s">
        <v>993</v>
      </c>
    </row>
    <row r="1884" spans="1:18" x14ac:dyDescent="0.15">
      <c r="A1884" s="179" t="str">
        <f t="shared" si="56"/>
        <v>Tlalpan_Optimal Year Round_112.5</v>
      </c>
      <c r="B1884" s="179" t="s">
        <v>1158</v>
      </c>
      <c r="C1884" s="179">
        <v>19</v>
      </c>
      <c r="D1884" s="179">
        <v>112.5</v>
      </c>
      <c r="E1884" s="179">
        <v>5.05</v>
      </c>
      <c r="F1884" s="179">
        <v>5.7</v>
      </c>
      <c r="G1884" s="179">
        <v>6.01</v>
      </c>
      <c r="H1884" s="179">
        <v>5.5</v>
      </c>
      <c r="I1884" s="179">
        <v>5.0599999999999996</v>
      </c>
      <c r="J1884" s="179">
        <v>4.8899999999999997</v>
      </c>
      <c r="K1884" s="179">
        <v>4.78</v>
      </c>
      <c r="L1884" s="179">
        <v>4.49</v>
      </c>
      <c r="M1884" s="179">
        <v>4.34</v>
      </c>
      <c r="N1884" s="179">
        <v>4.66</v>
      </c>
      <c r="O1884" s="179">
        <v>4.97</v>
      </c>
      <c r="P1884" s="179">
        <v>4.62</v>
      </c>
      <c r="Q1884" s="179">
        <f t="shared" si="57"/>
        <v>5.0058333333333325</v>
      </c>
      <c r="R1884" s="179" t="s">
        <v>993</v>
      </c>
    </row>
    <row r="1885" spans="1:18" x14ac:dyDescent="0.15">
      <c r="A1885" s="179" t="str">
        <f t="shared" si="56"/>
        <v>Tlalpan_Optimal Year Round_135</v>
      </c>
      <c r="B1885" s="179" t="s">
        <v>1158</v>
      </c>
      <c r="C1885" s="179">
        <v>19</v>
      </c>
      <c r="D1885" s="179">
        <v>135</v>
      </c>
      <c r="E1885" s="179">
        <v>5.48</v>
      </c>
      <c r="F1885" s="179">
        <v>6.18</v>
      </c>
      <c r="G1885" s="179">
        <v>6.53</v>
      </c>
      <c r="H1885" s="179">
        <v>5.98</v>
      </c>
      <c r="I1885" s="179">
        <v>5.49</v>
      </c>
      <c r="J1885" s="179">
        <v>5.31</v>
      </c>
      <c r="K1885" s="179">
        <v>5.19</v>
      </c>
      <c r="L1885" s="179">
        <v>4.87</v>
      </c>
      <c r="M1885" s="179">
        <v>4.71</v>
      </c>
      <c r="N1885" s="179">
        <v>5.0599999999999996</v>
      </c>
      <c r="O1885" s="179">
        <v>5.4</v>
      </c>
      <c r="P1885" s="179">
        <v>5.0199999999999996</v>
      </c>
      <c r="Q1885" s="179">
        <f t="shared" si="57"/>
        <v>5.4349999999999996</v>
      </c>
      <c r="R1885" s="179" t="s">
        <v>993</v>
      </c>
    </row>
    <row r="1886" spans="1:18" x14ac:dyDescent="0.15">
      <c r="A1886" s="179" t="str">
        <f t="shared" si="56"/>
        <v>Tlalpan_Optimal Year Round_157.5</v>
      </c>
      <c r="B1886" s="179" t="s">
        <v>1158</v>
      </c>
      <c r="C1886" s="179">
        <v>19</v>
      </c>
      <c r="D1886" s="179">
        <v>157.5</v>
      </c>
      <c r="E1886" s="179">
        <v>5.63</v>
      </c>
      <c r="F1886" s="179">
        <v>6.35</v>
      </c>
      <c r="G1886" s="179">
        <v>6.7</v>
      </c>
      <c r="H1886" s="179">
        <v>6.13</v>
      </c>
      <c r="I1886" s="179">
        <v>5.64</v>
      </c>
      <c r="J1886" s="179">
        <v>5.45</v>
      </c>
      <c r="K1886" s="179">
        <v>5.32</v>
      </c>
      <c r="L1886" s="179">
        <v>5</v>
      </c>
      <c r="M1886" s="179">
        <v>4.84</v>
      </c>
      <c r="N1886" s="179">
        <v>5.2</v>
      </c>
      <c r="O1886" s="179">
        <v>5.54</v>
      </c>
      <c r="P1886" s="179">
        <v>5.15</v>
      </c>
      <c r="Q1886" s="179">
        <f t="shared" si="57"/>
        <v>5.5791666666666666</v>
      </c>
      <c r="R1886" s="179" t="s">
        <v>993</v>
      </c>
    </row>
    <row r="1887" spans="1:18" x14ac:dyDescent="0.15">
      <c r="A1887" s="179" t="str">
        <f t="shared" si="56"/>
        <v>Tlalpan_Optimal Year Round_180</v>
      </c>
      <c r="B1887" s="179" t="s">
        <v>1158</v>
      </c>
      <c r="C1887" s="179">
        <v>19</v>
      </c>
      <c r="D1887" s="179">
        <v>180</v>
      </c>
      <c r="E1887" s="179">
        <v>5.77</v>
      </c>
      <c r="F1887" s="179">
        <v>6.51</v>
      </c>
      <c r="G1887" s="179">
        <v>6.87</v>
      </c>
      <c r="H1887" s="179">
        <v>6.29</v>
      </c>
      <c r="I1887" s="179">
        <v>5.78</v>
      </c>
      <c r="J1887" s="179">
        <v>5.59</v>
      </c>
      <c r="K1887" s="179">
        <v>5.46</v>
      </c>
      <c r="L1887" s="179">
        <v>5.13</v>
      </c>
      <c r="M1887" s="179">
        <v>4.96</v>
      </c>
      <c r="N1887" s="179">
        <v>5.33</v>
      </c>
      <c r="O1887" s="179">
        <v>5.68</v>
      </c>
      <c r="P1887" s="179">
        <v>5.28</v>
      </c>
      <c r="Q1887" s="179">
        <f t="shared" si="57"/>
        <v>5.7208333333333341</v>
      </c>
      <c r="R1887" s="179" t="s">
        <v>993</v>
      </c>
    </row>
    <row r="1888" spans="1:18" x14ac:dyDescent="0.15">
      <c r="A1888" s="179" t="str">
        <f t="shared" si="56"/>
        <v>Tlalpan_Optimal Year Round_202.5</v>
      </c>
      <c r="B1888" s="179" t="s">
        <v>1158</v>
      </c>
      <c r="C1888" s="179">
        <v>19</v>
      </c>
      <c r="D1888" s="179">
        <v>202.5</v>
      </c>
      <c r="E1888" s="179">
        <v>5.63</v>
      </c>
      <c r="F1888" s="179">
        <v>6.35</v>
      </c>
      <c r="G1888" s="179">
        <v>6.7</v>
      </c>
      <c r="H1888" s="179">
        <v>6.13</v>
      </c>
      <c r="I1888" s="179">
        <v>5.64</v>
      </c>
      <c r="J1888" s="179">
        <v>5.45</v>
      </c>
      <c r="K1888" s="179">
        <v>5.32</v>
      </c>
      <c r="L1888" s="179">
        <v>5</v>
      </c>
      <c r="M1888" s="179">
        <v>4.84</v>
      </c>
      <c r="N1888" s="179">
        <v>5.2</v>
      </c>
      <c r="O1888" s="179">
        <v>5.54</v>
      </c>
      <c r="P1888" s="179">
        <v>5.15</v>
      </c>
      <c r="Q1888" s="179">
        <f t="shared" si="57"/>
        <v>5.5791666666666666</v>
      </c>
      <c r="R1888" s="179" t="s">
        <v>993</v>
      </c>
    </row>
    <row r="1889" spans="1:18" x14ac:dyDescent="0.15">
      <c r="A1889" s="179" t="str">
        <f t="shared" si="56"/>
        <v>Tlalpan_Optimal Year Round_225</v>
      </c>
      <c r="B1889" s="179" t="s">
        <v>1158</v>
      </c>
      <c r="C1889" s="179">
        <v>19</v>
      </c>
      <c r="D1889" s="179">
        <v>225</v>
      </c>
      <c r="E1889" s="179">
        <v>5.48</v>
      </c>
      <c r="F1889" s="179">
        <v>6.18</v>
      </c>
      <c r="G1889" s="179">
        <v>6.53</v>
      </c>
      <c r="H1889" s="179">
        <v>5.98</v>
      </c>
      <c r="I1889" s="179">
        <v>5.49</v>
      </c>
      <c r="J1889" s="179">
        <v>5.31</v>
      </c>
      <c r="K1889" s="179">
        <v>5.19</v>
      </c>
      <c r="L1889" s="179">
        <v>4.87</v>
      </c>
      <c r="M1889" s="179">
        <v>4.71</v>
      </c>
      <c r="N1889" s="179">
        <v>5.0599999999999996</v>
      </c>
      <c r="O1889" s="179">
        <v>5.4</v>
      </c>
      <c r="P1889" s="179">
        <v>5.0199999999999996</v>
      </c>
      <c r="Q1889" s="179">
        <f t="shared" si="57"/>
        <v>5.4349999999999996</v>
      </c>
      <c r="R1889" s="179" t="s">
        <v>993</v>
      </c>
    </row>
    <row r="1890" spans="1:18" x14ac:dyDescent="0.15">
      <c r="A1890" s="179" t="str">
        <f t="shared" si="56"/>
        <v>Tlalpan_Optimal Year Round_247.5</v>
      </c>
      <c r="B1890" s="179" t="s">
        <v>1158</v>
      </c>
      <c r="C1890" s="179">
        <v>19</v>
      </c>
      <c r="D1890" s="179">
        <v>247.5</v>
      </c>
      <c r="E1890" s="179">
        <v>5.05</v>
      </c>
      <c r="F1890" s="179">
        <v>5.7</v>
      </c>
      <c r="G1890" s="179">
        <v>6.01</v>
      </c>
      <c r="H1890" s="179">
        <v>5.5</v>
      </c>
      <c r="I1890" s="179">
        <v>5.0599999999999996</v>
      </c>
      <c r="J1890" s="179">
        <v>4.8899999999999997</v>
      </c>
      <c r="K1890" s="179">
        <v>4.78</v>
      </c>
      <c r="L1890" s="179">
        <v>4.49</v>
      </c>
      <c r="M1890" s="179">
        <v>4.34</v>
      </c>
      <c r="N1890" s="179">
        <v>4.66</v>
      </c>
      <c r="O1890" s="179">
        <v>4.97</v>
      </c>
      <c r="P1890" s="179">
        <v>4.62</v>
      </c>
      <c r="Q1890" s="179">
        <f t="shared" si="57"/>
        <v>5.0058333333333325</v>
      </c>
      <c r="R1890" s="179" t="s">
        <v>993</v>
      </c>
    </row>
    <row r="1891" spans="1:18" x14ac:dyDescent="0.15">
      <c r="A1891" s="179" t="str">
        <f t="shared" si="56"/>
        <v>Tlalpan_Optimal Year Round_270</v>
      </c>
      <c r="B1891" s="179" t="s">
        <v>1158</v>
      </c>
      <c r="C1891" s="179">
        <v>19</v>
      </c>
      <c r="D1891" s="179">
        <v>270</v>
      </c>
      <c r="E1891" s="179">
        <v>4.62</v>
      </c>
      <c r="F1891" s="179">
        <v>5.21</v>
      </c>
      <c r="G1891" s="179">
        <v>5.5</v>
      </c>
      <c r="H1891" s="179">
        <v>5.03</v>
      </c>
      <c r="I1891" s="179">
        <v>4.62</v>
      </c>
      <c r="J1891" s="179">
        <v>4.47</v>
      </c>
      <c r="K1891" s="179">
        <v>4.37</v>
      </c>
      <c r="L1891" s="179">
        <v>4.0999999999999996</v>
      </c>
      <c r="M1891" s="179">
        <v>3.97</v>
      </c>
      <c r="N1891" s="179">
        <v>4.26</v>
      </c>
      <c r="O1891" s="179">
        <v>4.54</v>
      </c>
      <c r="P1891" s="179">
        <v>4.22</v>
      </c>
      <c r="Q1891" s="179">
        <f t="shared" si="57"/>
        <v>4.5758333333333328</v>
      </c>
      <c r="R1891" s="179" t="s">
        <v>993</v>
      </c>
    </row>
    <row r="1892" spans="1:18" x14ac:dyDescent="0.15">
      <c r="A1892" s="179" t="str">
        <f t="shared" si="56"/>
        <v>Tlaquepaque_Flat Surface_90</v>
      </c>
      <c r="B1892" s="179" t="s">
        <v>1159</v>
      </c>
      <c r="C1892" s="179">
        <v>0</v>
      </c>
      <c r="D1892" s="179">
        <v>90</v>
      </c>
      <c r="E1892" s="179">
        <v>4.7699999999999996</v>
      </c>
      <c r="F1892" s="179">
        <v>5.72</v>
      </c>
      <c r="G1892" s="179">
        <v>6.78</v>
      </c>
      <c r="H1892" s="179">
        <v>7.11</v>
      </c>
      <c r="I1892" s="179">
        <v>7.11</v>
      </c>
      <c r="J1892" s="179">
        <v>6.17</v>
      </c>
      <c r="K1892" s="179">
        <v>5.63</v>
      </c>
      <c r="L1892" s="179">
        <v>5.51</v>
      </c>
      <c r="M1892" s="179">
        <v>5.14</v>
      </c>
      <c r="N1892" s="179">
        <v>5.31</v>
      </c>
      <c r="O1892" s="179">
        <v>5.13</v>
      </c>
      <c r="P1892" s="179">
        <v>4.45</v>
      </c>
      <c r="Q1892" s="179">
        <f t="shared" si="57"/>
        <v>5.7358333333333329</v>
      </c>
      <c r="R1892" s="179" t="s">
        <v>994</v>
      </c>
    </row>
    <row r="1893" spans="1:18" x14ac:dyDescent="0.15">
      <c r="A1893" s="179" t="str">
        <f t="shared" si="56"/>
        <v>Tlaquepaque_Flat Surface_112.5</v>
      </c>
      <c r="B1893" s="179" t="s">
        <v>1159</v>
      </c>
      <c r="C1893" s="179">
        <v>0</v>
      </c>
      <c r="D1893" s="179">
        <v>112.5</v>
      </c>
      <c r="E1893" s="179">
        <v>4.7699999999999996</v>
      </c>
      <c r="F1893" s="179">
        <v>5.72</v>
      </c>
      <c r="G1893" s="179">
        <v>6.78</v>
      </c>
      <c r="H1893" s="179">
        <v>7.11</v>
      </c>
      <c r="I1893" s="179">
        <v>7.11</v>
      </c>
      <c r="J1893" s="179">
        <v>6.17</v>
      </c>
      <c r="K1893" s="179">
        <v>5.63</v>
      </c>
      <c r="L1893" s="179">
        <v>5.51</v>
      </c>
      <c r="M1893" s="179">
        <v>5.14</v>
      </c>
      <c r="N1893" s="179">
        <v>5.31</v>
      </c>
      <c r="O1893" s="179">
        <v>5.13</v>
      </c>
      <c r="P1893" s="179">
        <v>4.45</v>
      </c>
      <c r="Q1893" s="179">
        <f t="shared" si="57"/>
        <v>5.7358333333333329</v>
      </c>
      <c r="R1893" s="179" t="s">
        <v>994</v>
      </c>
    </row>
    <row r="1894" spans="1:18" x14ac:dyDescent="0.15">
      <c r="A1894" s="179" t="str">
        <f t="shared" si="56"/>
        <v>Tlaquepaque_Flat Surface_135</v>
      </c>
      <c r="B1894" s="179" t="s">
        <v>1159</v>
      </c>
      <c r="C1894" s="179">
        <v>0</v>
      </c>
      <c r="D1894" s="179">
        <v>135</v>
      </c>
      <c r="E1894" s="179">
        <v>4.7699999999999996</v>
      </c>
      <c r="F1894" s="179">
        <v>5.72</v>
      </c>
      <c r="G1894" s="179">
        <v>6.78</v>
      </c>
      <c r="H1894" s="179">
        <v>7.11</v>
      </c>
      <c r="I1894" s="179">
        <v>7.11</v>
      </c>
      <c r="J1894" s="179">
        <v>6.17</v>
      </c>
      <c r="K1894" s="179">
        <v>5.63</v>
      </c>
      <c r="L1894" s="179">
        <v>5.51</v>
      </c>
      <c r="M1894" s="179">
        <v>5.14</v>
      </c>
      <c r="N1894" s="179">
        <v>5.31</v>
      </c>
      <c r="O1894" s="179">
        <v>5.13</v>
      </c>
      <c r="P1894" s="179">
        <v>4.45</v>
      </c>
      <c r="Q1894" s="179">
        <f t="shared" si="57"/>
        <v>5.7358333333333329</v>
      </c>
      <c r="R1894" s="179" t="s">
        <v>994</v>
      </c>
    </row>
    <row r="1895" spans="1:18" x14ac:dyDescent="0.15">
      <c r="A1895" s="179" t="str">
        <f t="shared" si="56"/>
        <v>Tlaquepaque_Flat Surface_157.5</v>
      </c>
      <c r="B1895" s="179" t="s">
        <v>1159</v>
      </c>
      <c r="C1895" s="179">
        <v>0</v>
      </c>
      <c r="D1895" s="179">
        <v>157.5</v>
      </c>
      <c r="E1895" s="179">
        <v>4.7699999999999996</v>
      </c>
      <c r="F1895" s="179">
        <v>5.72</v>
      </c>
      <c r="G1895" s="179">
        <v>6.78</v>
      </c>
      <c r="H1895" s="179">
        <v>7.11</v>
      </c>
      <c r="I1895" s="179">
        <v>7.11</v>
      </c>
      <c r="J1895" s="179">
        <v>6.17</v>
      </c>
      <c r="K1895" s="179">
        <v>5.63</v>
      </c>
      <c r="L1895" s="179">
        <v>5.51</v>
      </c>
      <c r="M1895" s="179">
        <v>5.14</v>
      </c>
      <c r="N1895" s="179">
        <v>5.31</v>
      </c>
      <c r="O1895" s="179">
        <v>5.13</v>
      </c>
      <c r="P1895" s="179">
        <v>4.45</v>
      </c>
      <c r="Q1895" s="179">
        <f t="shared" si="57"/>
        <v>5.7358333333333329</v>
      </c>
      <c r="R1895" s="179" t="s">
        <v>994</v>
      </c>
    </row>
    <row r="1896" spans="1:18" x14ac:dyDescent="0.15">
      <c r="A1896" s="179" t="str">
        <f t="shared" si="56"/>
        <v>Tlaquepaque_Flat Surface_180</v>
      </c>
      <c r="B1896" s="179" t="s">
        <v>1159</v>
      </c>
      <c r="C1896" s="179">
        <v>0</v>
      </c>
      <c r="D1896" s="179">
        <v>180</v>
      </c>
      <c r="E1896" s="179">
        <v>4.7699999999999996</v>
      </c>
      <c r="F1896" s="179">
        <v>5.72</v>
      </c>
      <c r="G1896" s="179">
        <v>6.78</v>
      </c>
      <c r="H1896" s="179">
        <v>7.11</v>
      </c>
      <c r="I1896" s="179">
        <v>7.11</v>
      </c>
      <c r="J1896" s="179">
        <v>6.17</v>
      </c>
      <c r="K1896" s="179">
        <v>5.63</v>
      </c>
      <c r="L1896" s="179">
        <v>5.51</v>
      </c>
      <c r="M1896" s="179">
        <v>5.14</v>
      </c>
      <c r="N1896" s="179">
        <v>5.31</v>
      </c>
      <c r="O1896" s="179">
        <v>5.13</v>
      </c>
      <c r="P1896" s="179">
        <v>4.45</v>
      </c>
      <c r="Q1896" s="179">
        <f t="shared" si="57"/>
        <v>5.7358333333333329</v>
      </c>
      <c r="R1896" s="179" t="s">
        <v>994</v>
      </c>
    </row>
    <row r="1897" spans="1:18" x14ac:dyDescent="0.15">
      <c r="A1897" s="179" t="str">
        <f t="shared" si="56"/>
        <v>Tlaquepaque_Flat Surface_202.5</v>
      </c>
      <c r="B1897" s="179" t="s">
        <v>1159</v>
      </c>
      <c r="C1897" s="179">
        <v>0</v>
      </c>
      <c r="D1897" s="179">
        <v>202.5</v>
      </c>
      <c r="E1897" s="179">
        <v>4.7699999999999996</v>
      </c>
      <c r="F1897" s="179">
        <v>5.72</v>
      </c>
      <c r="G1897" s="179">
        <v>6.78</v>
      </c>
      <c r="H1897" s="179">
        <v>7.11</v>
      </c>
      <c r="I1897" s="179">
        <v>7.11</v>
      </c>
      <c r="J1897" s="179">
        <v>6.17</v>
      </c>
      <c r="K1897" s="179">
        <v>5.63</v>
      </c>
      <c r="L1897" s="179">
        <v>5.51</v>
      </c>
      <c r="M1897" s="179">
        <v>5.14</v>
      </c>
      <c r="N1897" s="179">
        <v>5.31</v>
      </c>
      <c r="O1897" s="179">
        <v>5.13</v>
      </c>
      <c r="P1897" s="179">
        <v>4.45</v>
      </c>
      <c r="Q1897" s="179">
        <f t="shared" si="57"/>
        <v>5.7358333333333329</v>
      </c>
      <c r="R1897" s="179" t="s">
        <v>994</v>
      </c>
    </row>
    <row r="1898" spans="1:18" x14ac:dyDescent="0.15">
      <c r="A1898" s="179" t="str">
        <f t="shared" si="56"/>
        <v>Tlaquepaque_Flat Surface_225</v>
      </c>
      <c r="B1898" s="179" t="s">
        <v>1159</v>
      </c>
      <c r="C1898" s="179">
        <v>0</v>
      </c>
      <c r="D1898" s="179">
        <v>225</v>
      </c>
      <c r="E1898" s="179">
        <v>4.7699999999999996</v>
      </c>
      <c r="F1898" s="179">
        <v>5.72</v>
      </c>
      <c r="G1898" s="179">
        <v>6.78</v>
      </c>
      <c r="H1898" s="179">
        <v>7.11</v>
      </c>
      <c r="I1898" s="179">
        <v>7.11</v>
      </c>
      <c r="J1898" s="179">
        <v>6.17</v>
      </c>
      <c r="K1898" s="179">
        <v>5.63</v>
      </c>
      <c r="L1898" s="179">
        <v>5.51</v>
      </c>
      <c r="M1898" s="179">
        <v>5.14</v>
      </c>
      <c r="N1898" s="179">
        <v>5.31</v>
      </c>
      <c r="O1898" s="179">
        <v>5.13</v>
      </c>
      <c r="P1898" s="179">
        <v>4.45</v>
      </c>
      <c r="Q1898" s="179">
        <f t="shared" si="57"/>
        <v>5.7358333333333329</v>
      </c>
      <c r="R1898" s="179" t="s">
        <v>994</v>
      </c>
    </row>
    <row r="1899" spans="1:18" x14ac:dyDescent="0.15">
      <c r="A1899" s="179" t="str">
        <f t="shared" si="56"/>
        <v>Tlaquepaque_Flat Surface_247.5</v>
      </c>
      <c r="B1899" s="179" t="s">
        <v>1159</v>
      </c>
      <c r="C1899" s="179">
        <v>0</v>
      </c>
      <c r="D1899" s="179">
        <v>247.5</v>
      </c>
      <c r="E1899" s="179">
        <v>4.7699999999999996</v>
      </c>
      <c r="F1899" s="179">
        <v>5.72</v>
      </c>
      <c r="G1899" s="179">
        <v>6.78</v>
      </c>
      <c r="H1899" s="179">
        <v>7.11</v>
      </c>
      <c r="I1899" s="179">
        <v>7.11</v>
      </c>
      <c r="J1899" s="179">
        <v>6.17</v>
      </c>
      <c r="K1899" s="179">
        <v>5.63</v>
      </c>
      <c r="L1899" s="179">
        <v>5.51</v>
      </c>
      <c r="M1899" s="179">
        <v>5.14</v>
      </c>
      <c r="N1899" s="179">
        <v>5.31</v>
      </c>
      <c r="O1899" s="179">
        <v>5.13</v>
      </c>
      <c r="P1899" s="179">
        <v>4.45</v>
      </c>
      <c r="Q1899" s="179">
        <f t="shared" si="57"/>
        <v>5.7358333333333329</v>
      </c>
      <c r="R1899" s="179" t="s">
        <v>994</v>
      </c>
    </row>
    <row r="1900" spans="1:18" x14ac:dyDescent="0.15">
      <c r="A1900" s="179" t="str">
        <f t="shared" si="56"/>
        <v>Tlaquepaque_Flat Surface_270</v>
      </c>
      <c r="B1900" s="179" t="s">
        <v>1159</v>
      </c>
      <c r="C1900" s="179">
        <v>0</v>
      </c>
      <c r="D1900" s="179">
        <v>270</v>
      </c>
      <c r="E1900" s="179">
        <v>4.7699999999999996</v>
      </c>
      <c r="F1900" s="179">
        <v>5.72</v>
      </c>
      <c r="G1900" s="179">
        <v>6.78</v>
      </c>
      <c r="H1900" s="179">
        <v>7.11</v>
      </c>
      <c r="I1900" s="179">
        <v>7.11</v>
      </c>
      <c r="J1900" s="179">
        <v>6.17</v>
      </c>
      <c r="K1900" s="179">
        <v>5.63</v>
      </c>
      <c r="L1900" s="179">
        <v>5.51</v>
      </c>
      <c r="M1900" s="179">
        <v>5.14</v>
      </c>
      <c r="N1900" s="179">
        <v>5.31</v>
      </c>
      <c r="O1900" s="179">
        <v>5.13</v>
      </c>
      <c r="P1900" s="179">
        <v>4.45</v>
      </c>
      <c r="Q1900" s="179">
        <f t="shared" si="57"/>
        <v>5.7358333333333329</v>
      </c>
      <c r="R1900" s="179" t="s">
        <v>994</v>
      </c>
    </row>
    <row r="1901" spans="1:18" x14ac:dyDescent="0.15">
      <c r="A1901" s="179" t="str">
        <f t="shared" si="56"/>
        <v>Tlaquepaque_Optimal Summer_90</v>
      </c>
      <c r="B1901" s="179" t="s">
        <v>1159</v>
      </c>
      <c r="C1901" s="179">
        <v>6</v>
      </c>
      <c r="D1901" s="179">
        <v>90</v>
      </c>
      <c r="E1901" s="179">
        <v>4.09</v>
      </c>
      <c r="F1901" s="179">
        <v>4.8099999999999996</v>
      </c>
      <c r="G1901" s="179">
        <v>5.58</v>
      </c>
      <c r="H1901" s="179">
        <v>5.72</v>
      </c>
      <c r="I1901" s="179">
        <v>5.63</v>
      </c>
      <c r="J1901" s="179">
        <v>4.9800000000000004</v>
      </c>
      <c r="K1901" s="179">
        <v>4.53</v>
      </c>
      <c r="L1901" s="179">
        <v>4.41</v>
      </c>
      <c r="M1901" s="179">
        <v>4.17</v>
      </c>
      <c r="N1901" s="179">
        <v>4.41</v>
      </c>
      <c r="O1901" s="179">
        <v>4.38</v>
      </c>
      <c r="P1901" s="179">
        <v>3.82</v>
      </c>
      <c r="Q1901" s="179">
        <f t="shared" si="57"/>
        <v>4.7108333333333334</v>
      </c>
      <c r="R1901" s="179" t="s">
        <v>958</v>
      </c>
    </row>
    <row r="1902" spans="1:18" x14ac:dyDescent="0.15">
      <c r="A1902" s="179" t="str">
        <f t="shared" si="56"/>
        <v>Tlaquepaque_Optimal Summer_112.5</v>
      </c>
      <c r="B1902" s="179" t="s">
        <v>1159</v>
      </c>
      <c r="C1902" s="179">
        <v>6</v>
      </c>
      <c r="D1902" s="179">
        <v>112.5</v>
      </c>
      <c r="E1902" s="179">
        <v>4.47</v>
      </c>
      <c r="F1902" s="179">
        <v>5.26</v>
      </c>
      <c r="G1902" s="179">
        <v>6.1</v>
      </c>
      <c r="H1902" s="179">
        <v>6.26</v>
      </c>
      <c r="I1902" s="179">
        <v>6.16</v>
      </c>
      <c r="J1902" s="179">
        <v>5.44</v>
      </c>
      <c r="K1902" s="179">
        <v>4.95</v>
      </c>
      <c r="L1902" s="179">
        <v>4.82</v>
      </c>
      <c r="M1902" s="179">
        <v>4.5599999999999996</v>
      </c>
      <c r="N1902" s="179">
        <v>4.82</v>
      </c>
      <c r="O1902" s="179">
        <v>4.8</v>
      </c>
      <c r="P1902" s="179">
        <v>4.18</v>
      </c>
      <c r="Q1902" s="179">
        <f t="shared" si="57"/>
        <v>5.1516666666666664</v>
      </c>
      <c r="R1902" s="179" t="s">
        <v>958</v>
      </c>
    </row>
    <row r="1903" spans="1:18" x14ac:dyDescent="0.15">
      <c r="A1903" s="179" t="str">
        <f t="shared" si="56"/>
        <v>Tlaquepaque_Optimal Summer_135</v>
      </c>
      <c r="B1903" s="179" t="s">
        <v>1159</v>
      </c>
      <c r="C1903" s="179">
        <v>6</v>
      </c>
      <c r="D1903" s="179">
        <v>135</v>
      </c>
      <c r="E1903" s="179">
        <v>4.8499999999999996</v>
      </c>
      <c r="F1903" s="179">
        <v>5.71</v>
      </c>
      <c r="G1903" s="179">
        <v>6.62</v>
      </c>
      <c r="H1903" s="179">
        <v>6.79</v>
      </c>
      <c r="I1903" s="179">
        <v>6.69</v>
      </c>
      <c r="J1903" s="179">
        <v>5.91</v>
      </c>
      <c r="K1903" s="179">
        <v>5.38</v>
      </c>
      <c r="L1903" s="179">
        <v>5.23</v>
      </c>
      <c r="M1903" s="179">
        <v>4.95</v>
      </c>
      <c r="N1903" s="179">
        <v>5.23</v>
      </c>
      <c r="O1903" s="179">
        <v>5.21</v>
      </c>
      <c r="P1903" s="179">
        <v>4.54</v>
      </c>
      <c r="Q1903" s="179">
        <f t="shared" si="57"/>
        <v>5.5925000000000011</v>
      </c>
      <c r="R1903" s="179" t="s">
        <v>958</v>
      </c>
    </row>
    <row r="1904" spans="1:18" x14ac:dyDescent="0.15">
      <c r="A1904" s="179" t="str">
        <f t="shared" si="56"/>
        <v>Tlaquepaque_Optimal Summer_157.5</v>
      </c>
      <c r="B1904" s="179" t="s">
        <v>1159</v>
      </c>
      <c r="C1904" s="179">
        <v>6</v>
      </c>
      <c r="D1904" s="179">
        <v>157.5</v>
      </c>
      <c r="E1904" s="179">
        <v>4.9800000000000004</v>
      </c>
      <c r="F1904" s="179">
        <v>5.86</v>
      </c>
      <c r="G1904" s="179">
        <v>6.8</v>
      </c>
      <c r="H1904" s="179">
        <v>6.97</v>
      </c>
      <c r="I1904" s="179">
        <v>6.86</v>
      </c>
      <c r="J1904" s="179">
        <v>6.06</v>
      </c>
      <c r="K1904" s="179">
        <v>5.52</v>
      </c>
      <c r="L1904" s="179">
        <v>5.37</v>
      </c>
      <c r="M1904" s="179">
        <v>5.08</v>
      </c>
      <c r="N1904" s="179">
        <v>5.37</v>
      </c>
      <c r="O1904" s="179">
        <v>5.34</v>
      </c>
      <c r="P1904" s="179">
        <v>4.66</v>
      </c>
      <c r="Q1904" s="179">
        <f t="shared" si="57"/>
        <v>5.7391666666666659</v>
      </c>
      <c r="R1904" s="179" t="s">
        <v>958</v>
      </c>
    </row>
    <row r="1905" spans="1:18" x14ac:dyDescent="0.15">
      <c r="A1905" s="179" t="str">
        <f t="shared" si="56"/>
        <v>Tlaquepaque_Optimal Summer_180</v>
      </c>
      <c r="B1905" s="179" t="s">
        <v>1159</v>
      </c>
      <c r="C1905" s="179">
        <v>6</v>
      </c>
      <c r="D1905" s="179">
        <v>180</v>
      </c>
      <c r="E1905" s="179">
        <v>5.1100000000000003</v>
      </c>
      <c r="F1905" s="179">
        <v>6.01</v>
      </c>
      <c r="G1905" s="179">
        <v>6.97</v>
      </c>
      <c r="H1905" s="179">
        <v>7.15</v>
      </c>
      <c r="I1905" s="179">
        <v>7.04</v>
      </c>
      <c r="J1905" s="179">
        <v>6.22</v>
      </c>
      <c r="K1905" s="179">
        <v>5.66</v>
      </c>
      <c r="L1905" s="179">
        <v>5.51</v>
      </c>
      <c r="M1905" s="179">
        <v>5.21</v>
      </c>
      <c r="N1905" s="179">
        <v>5.51</v>
      </c>
      <c r="O1905" s="179">
        <v>5.48</v>
      </c>
      <c r="P1905" s="179">
        <v>4.78</v>
      </c>
      <c r="Q1905" s="179">
        <f t="shared" si="57"/>
        <v>5.8874999999999993</v>
      </c>
      <c r="R1905" s="179" t="s">
        <v>958</v>
      </c>
    </row>
    <row r="1906" spans="1:18" x14ac:dyDescent="0.15">
      <c r="A1906" s="179" t="str">
        <f t="shared" si="56"/>
        <v>Tlaquepaque_Optimal Summer_202.5</v>
      </c>
      <c r="B1906" s="179" t="s">
        <v>1159</v>
      </c>
      <c r="C1906" s="179">
        <v>6</v>
      </c>
      <c r="D1906" s="179">
        <v>202.5</v>
      </c>
      <c r="E1906" s="179">
        <v>4.9800000000000004</v>
      </c>
      <c r="F1906" s="179">
        <v>5.86</v>
      </c>
      <c r="G1906" s="179">
        <v>6.8</v>
      </c>
      <c r="H1906" s="179">
        <v>6.97</v>
      </c>
      <c r="I1906" s="179">
        <v>6.86</v>
      </c>
      <c r="J1906" s="179">
        <v>6.06</v>
      </c>
      <c r="K1906" s="179">
        <v>5.52</v>
      </c>
      <c r="L1906" s="179">
        <v>5.37</v>
      </c>
      <c r="M1906" s="179">
        <v>5.08</v>
      </c>
      <c r="N1906" s="179">
        <v>5.37</v>
      </c>
      <c r="O1906" s="179">
        <v>5.34</v>
      </c>
      <c r="P1906" s="179">
        <v>4.66</v>
      </c>
      <c r="Q1906" s="179">
        <f t="shared" si="57"/>
        <v>5.7391666666666659</v>
      </c>
      <c r="R1906" s="179" t="s">
        <v>958</v>
      </c>
    </row>
    <row r="1907" spans="1:18" x14ac:dyDescent="0.15">
      <c r="A1907" s="179" t="str">
        <f t="shared" si="56"/>
        <v>Tlaquepaque_Optimal Summer_225</v>
      </c>
      <c r="B1907" s="179" t="s">
        <v>1159</v>
      </c>
      <c r="C1907" s="179">
        <v>6</v>
      </c>
      <c r="D1907" s="179">
        <v>225</v>
      </c>
      <c r="E1907" s="179">
        <v>4.8499999999999996</v>
      </c>
      <c r="F1907" s="179">
        <v>5.71</v>
      </c>
      <c r="G1907" s="179">
        <v>6.62</v>
      </c>
      <c r="H1907" s="179">
        <v>6.79</v>
      </c>
      <c r="I1907" s="179">
        <v>6.69</v>
      </c>
      <c r="J1907" s="179">
        <v>5.91</v>
      </c>
      <c r="K1907" s="179">
        <v>5.38</v>
      </c>
      <c r="L1907" s="179">
        <v>5.23</v>
      </c>
      <c r="M1907" s="179">
        <v>4.95</v>
      </c>
      <c r="N1907" s="179">
        <v>5.23</v>
      </c>
      <c r="O1907" s="179">
        <v>5.21</v>
      </c>
      <c r="P1907" s="179">
        <v>4.54</v>
      </c>
      <c r="Q1907" s="179">
        <f t="shared" si="57"/>
        <v>5.5925000000000011</v>
      </c>
      <c r="R1907" s="179" t="s">
        <v>958</v>
      </c>
    </row>
    <row r="1908" spans="1:18" x14ac:dyDescent="0.15">
      <c r="A1908" s="179" t="str">
        <f t="shared" si="56"/>
        <v>Tlaquepaque_Optimal Summer_247.5</v>
      </c>
      <c r="B1908" s="179" t="s">
        <v>1159</v>
      </c>
      <c r="C1908" s="179">
        <v>6</v>
      </c>
      <c r="D1908" s="179">
        <v>247.5</v>
      </c>
      <c r="E1908" s="179">
        <v>4.47</v>
      </c>
      <c r="F1908" s="179">
        <v>5.26</v>
      </c>
      <c r="G1908" s="179">
        <v>6.1</v>
      </c>
      <c r="H1908" s="179">
        <v>6.26</v>
      </c>
      <c r="I1908" s="179">
        <v>6.16</v>
      </c>
      <c r="J1908" s="179">
        <v>5.44</v>
      </c>
      <c r="K1908" s="179">
        <v>4.95</v>
      </c>
      <c r="L1908" s="179">
        <v>4.82</v>
      </c>
      <c r="M1908" s="179">
        <v>4.5599999999999996</v>
      </c>
      <c r="N1908" s="179">
        <v>4.82</v>
      </c>
      <c r="O1908" s="179">
        <v>4.8</v>
      </c>
      <c r="P1908" s="179">
        <v>4.18</v>
      </c>
      <c r="Q1908" s="179">
        <f t="shared" si="57"/>
        <v>5.1516666666666664</v>
      </c>
      <c r="R1908" s="179" t="s">
        <v>958</v>
      </c>
    </row>
    <row r="1909" spans="1:18" x14ac:dyDescent="0.15">
      <c r="A1909" s="179" t="str">
        <f t="shared" si="56"/>
        <v>Tlaquepaque_Optimal Summer_270</v>
      </c>
      <c r="B1909" s="179" t="s">
        <v>1159</v>
      </c>
      <c r="C1909" s="179">
        <v>6</v>
      </c>
      <c r="D1909" s="179">
        <v>270</v>
      </c>
      <c r="E1909" s="179">
        <v>4.09</v>
      </c>
      <c r="F1909" s="179">
        <v>4.8099999999999996</v>
      </c>
      <c r="G1909" s="179">
        <v>5.58</v>
      </c>
      <c r="H1909" s="179">
        <v>5.72</v>
      </c>
      <c r="I1909" s="179">
        <v>5.63</v>
      </c>
      <c r="J1909" s="179">
        <v>4.9800000000000004</v>
      </c>
      <c r="K1909" s="179">
        <v>4.53</v>
      </c>
      <c r="L1909" s="179">
        <v>4.41</v>
      </c>
      <c r="M1909" s="179">
        <v>4.17</v>
      </c>
      <c r="N1909" s="179">
        <v>4.41</v>
      </c>
      <c r="O1909" s="179">
        <v>4.38</v>
      </c>
      <c r="P1909" s="179">
        <v>3.82</v>
      </c>
      <c r="Q1909" s="179">
        <f t="shared" si="57"/>
        <v>4.7108333333333334</v>
      </c>
      <c r="R1909" s="179" t="s">
        <v>958</v>
      </c>
    </row>
    <row r="1910" spans="1:18" x14ac:dyDescent="0.15">
      <c r="A1910" s="179" t="str">
        <f t="shared" si="56"/>
        <v>Tlaquepaque_Optimal Year Round_90</v>
      </c>
      <c r="B1910" s="179" t="s">
        <v>1159</v>
      </c>
      <c r="C1910" s="179">
        <v>21</v>
      </c>
      <c r="D1910" s="179">
        <v>90</v>
      </c>
      <c r="E1910" s="179">
        <v>4.75</v>
      </c>
      <c r="F1910" s="179">
        <v>5.33</v>
      </c>
      <c r="G1910" s="179">
        <v>5.82</v>
      </c>
      <c r="H1910" s="179">
        <v>5.62</v>
      </c>
      <c r="I1910" s="179">
        <v>5.26</v>
      </c>
      <c r="J1910" s="179">
        <v>4.9400000000000004</v>
      </c>
      <c r="K1910" s="179">
        <v>4.46</v>
      </c>
      <c r="L1910" s="179">
        <v>4.26</v>
      </c>
      <c r="M1910" s="179">
        <v>4.21</v>
      </c>
      <c r="N1910" s="179">
        <v>4.74</v>
      </c>
      <c r="O1910" s="179">
        <v>5.05</v>
      </c>
      <c r="P1910" s="179">
        <v>4.46</v>
      </c>
      <c r="Q1910" s="179">
        <f t="shared" si="57"/>
        <v>4.9083333333333332</v>
      </c>
      <c r="R1910" s="179" t="s">
        <v>993</v>
      </c>
    </row>
    <row r="1911" spans="1:18" x14ac:dyDescent="0.15">
      <c r="A1911" s="179" t="str">
        <f t="shared" si="56"/>
        <v>Tlaquepaque_Optimal Year Round_112.5</v>
      </c>
      <c r="B1911" s="179" t="s">
        <v>1159</v>
      </c>
      <c r="C1911" s="179">
        <v>21</v>
      </c>
      <c r="D1911" s="179">
        <v>112.5</v>
      </c>
      <c r="E1911" s="179">
        <v>5.2</v>
      </c>
      <c r="F1911" s="179">
        <v>5.83</v>
      </c>
      <c r="G1911" s="179">
        <v>6.37</v>
      </c>
      <c r="H1911" s="179">
        <v>6.15</v>
      </c>
      <c r="I1911" s="179">
        <v>5.75</v>
      </c>
      <c r="J1911" s="179">
        <v>5.41</v>
      </c>
      <c r="K1911" s="179">
        <v>4.88</v>
      </c>
      <c r="L1911" s="179">
        <v>4.66</v>
      </c>
      <c r="M1911" s="179">
        <v>4.5999999999999996</v>
      </c>
      <c r="N1911" s="179">
        <v>5.18</v>
      </c>
      <c r="O1911" s="179">
        <v>5.52</v>
      </c>
      <c r="P1911" s="179">
        <v>4.87</v>
      </c>
      <c r="Q1911" s="179">
        <f t="shared" si="57"/>
        <v>5.368333333333335</v>
      </c>
      <c r="R1911" s="179" t="s">
        <v>993</v>
      </c>
    </row>
    <row r="1912" spans="1:18" x14ac:dyDescent="0.15">
      <c r="A1912" s="179" t="str">
        <f t="shared" si="56"/>
        <v>Tlaquepaque_Optimal Year Round_135</v>
      </c>
      <c r="B1912" s="179" t="s">
        <v>1159</v>
      </c>
      <c r="C1912" s="179">
        <v>21</v>
      </c>
      <c r="D1912" s="179">
        <v>135</v>
      </c>
      <c r="E1912" s="179">
        <v>5.64</v>
      </c>
      <c r="F1912" s="179">
        <v>6.33</v>
      </c>
      <c r="G1912" s="179">
        <v>6.92</v>
      </c>
      <c r="H1912" s="179">
        <v>6.68</v>
      </c>
      <c r="I1912" s="179">
        <v>6.24</v>
      </c>
      <c r="J1912" s="179">
        <v>5.87</v>
      </c>
      <c r="K1912" s="179">
        <v>5.3</v>
      </c>
      <c r="L1912" s="179">
        <v>5.0599999999999996</v>
      </c>
      <c r="M1912" s="179">
        <v>5</v>
      </c>
      <c r="N1912" s="179">
        <v>5.62</v>
      </c>
      <c r="O1912" s="179">
        <v>5.99</v>
      </c>
      <c r="P1912" s="179">
        <v>5.29</v>
      </c>
      <c r="Q1912" s="179">
        <f t="shared" si="57"/>
        <v>5.8283333333333331</v>
      </c>
      <c r="R1912" s="179" t="s">
        <v>993</v>
      </c>
    </row>
    <row r="1913" spans="1:18" x14ac:dyDescent="0.15">
      <c r="A1913" s="179" t="str">
        <f t="shared" si="56"/>
        <v>Tlaquepaque_Optimal Year Round_157.5</v>
      </c>
      <c r="B1913" s="179" t="s">
        <v>1159</v>
      </c>
      <c r="C1913" s="179">
        <v>21</v>
      </c>
      <c r="D1913" s="179">
        <v>157.5</v>
      </c>
      <c r="E1913" s="179">
        <v>5.79</v>
      </c>
      <c r="F1913" s="179">
        <v>6.49</v>
      </c>
      <c r="G1913" s="179">
        <v>7.1</v>
      </c>
      <c r="H1913" s="179">
        <v>6.85</v>
      </c>
      <c r="I1913" s="179">
        <v>6.41</v>
      </c>
      <c r="J1913" s="179">
        <v>6.03</v>
      </c>
      <c r="K1913" s="179">
        <v>5.44</v>
      </c>
      <c r="L1913" s="179">
        <v>5.2</v>
      </c>
      <c r="M1913" s="179">
        <v>5.13</v>
      </c>
      <c r="N1913" s="179">
        <v>5.77</v>
      </c>
      <c r="O1913" s="179">
        <v>6.15</v>
      </c>
      <c r="P1913" s="179">
        <v>5.43</v>
      </c>
      <c r="Q1913" s="179">
        <f t="shared" si="57"/>
        <v>5.9825000000000017</v>
      </c>
      <c r="R1913" s="179" t="s">
        <v>993</v>
      </c>
    </row>
    <row r="1914" spans="1:18" x14ac:dyDescent="0.15">
      <c r="A1914" s="179" t="str">
        <f t="shared" si="56"/>
        <v>Tlaquepaque_Optimal Year Round_180</v>
      </c>
      <c r="B1914" s="179" t="s">
        <v>1159</v>
      </c>
      <c r="C1914" s="179">
        <v>21</v>
      </c>
      <c r="D1914" s="179">
        <v>180</v>
      </c>
      <c r="E1914" s="179">
        <v>5.94</v>
      </c>
      <c r="F1914" s="179">
        <v>6.66</v>
      </c>
      <c r="G1914" s="179">
        <v>7.28</v>
      </c>
      <c r="H1914" s="179">
        <v>7.03</v>
      </c>
      <c r="I1914" s="179">
        <v>6.57</v>
      </c>
      <c r="J1914" s="179">
        <v>6.18</v>
      </c>
      <c r="K1914" s="179">
        <v>5.58</v>
      </c>
      <c r="L1914" s="179">
        <v>5.33</v>
      </c>
      <c r="M1914" s="179">
        <v>5.26</v>
      </c>
      <c r="N1914" s="179">
        <v>5.92</v>
      </c>
      <c r="O1914" s="179">
        <v>6.31</v>
      </c>
      <c r="P1914" s="179">
        <v>5.57</v>
      </c>
      <c r="Q1914" s="179">
        <f t="shared" si="57"/>
        <v>6.1358333333333333</v>
      </c>
      <c r="R1914" s="179" t="s">
        <v>993</v>
      </c>
    </row>
    <row r="1915" spans="1:18" x14ac:dyDescent="0.15">
      <c r="A1915" s="179" t="str">
        <f t="shared" si="56"/>
        <v>Tlaquepaque_Optimal Year Round_202.5</v>
      </c>
      <c r="B1915" s="179" t="s">
        <v>1159</v>
      </c>
      <c r="C1915" s="179">
        <v>21</v>
      </c>
      <c r="D1915" s="179">
        <v>202.5</v>
      </c>
      <c r="E1915" s="179">
        <v>5.79</v>
      </c>
      <c r="F1915" s="179">
        <v>6.49</v>
      </c>
      <c r="G1915" s="179">
        <v>7.1</v>
      </c>
      <c r="H1915" s="179">
        <v>6.85</v>
      </c>
      <c r="I1915" s="179">
        <v>6.41</v>
      </c>
      <c r="J1915" s="179">
        <v>6.03</v>
      </c>
      <c r="K1915" s="179">
        <v>5.44</v>
      </c>
      <c r="L1915" s="179">
        <v>5.2</v>
      </c>
      <c r="M1915" s="179">
        <v>5.13</v>
      </c>
      <c r="N1915" s="179">
        <v>5.77</v>
      </c>
      <c r="O1915" s="179">
        <v>6.15</v>
      </c>
      <c r="P1915" s="179">
        <v>5.43</v>
      </c>
      <c r="Q1915" s="179">
        <f t="shared" si="57"/>
        <v>5.9825000000000017</v>
      </c>
      <c r="R1915" s="179" t="s">
        <v>993</v>
      </c>
    </row>
    <row r="1916" spans="1:18" x14ac:dyDescent="0.15">
      <c r="A1916" s="179" t="str">
        <f t="shared" si="56"/>
        <v>Tlaquepaque_Optimal Year Round_225</v>
      </c>
      <c r="B1916" s="179" t="s">
        <v>1159</v>
      </c>
      <c r="C1916" s="179">
        <v>21</v>
      </c>
      <c r="D1916" s="179">
        <v>225</v>
      </c>
      <c r="E1916" s="179">
        <v>5.64</v>
      </c>
      <c r="F1916" s="179">
        <v>6.33</v>
      </c>
      <c r="G1916" s="179">
        <v>6.92</v>
      </c>
      <c r="H1916" s="179">
        <v>6.68</v>
      </c>
      <c r="I1916" s="179">
        <v>6.24</v>
      </c>
      <c r="J1916" s="179">
        <v>5.87</v>
      </c>
      <c r="K1916" s="179">
        <v>5.3</v>
      </c>
      <c r="L1916" s="179">
        <v>5.0599999999999996</v>
      </c>
      <c r="M1916" s="179">
        <v>5</v>
      </c>
      <c r="N1916" s="179">
        <v>5.62</v>
      </c>
      <c r="O1916" s="179">
        <v>5.99</v>
      </c>
      <c r="P1916" s="179">
        <v>5.29</v>
      </c>
      <c r="Q1916" s="179">
        <f t="shared" si="57"/>
        <v>5.8283333333333331</v>
      </c>
      <c r="R1916" s="179" t="s">
        <v>993</v>
      </c>
    </row>
    <row r="1917" spans="1:18" x14ac:dyDescent="0.15">
      <c r="A1917" s="179" t="str">
        <f t="shared" si="56"/>
        <v>Tlaquepaque_Optimal Year Round_247.5</v>
      </c>
      <c r="B1917" s="179" t="s">
        <v>1159</v>
      </c>
      <c r="C1917" s="179">
        <v>21</v>
      </c>
      <c r="D1917" s="179">
        <v>247.5</v>
      </c>
      <c r="E1917" s="179">
        <v>5.2</v>
      </c>
      <c r="F1917" s="179">
        <v>5.83</v>
      </c>
      <c r="G1917" s="179">
        <v>6.37</v>
      </c>
      <c r="H1917" s="179">
        <v>6.15</v>
      </c>
      <c r="I1917" s="179">
        <v>5.75</v>
      </c>
      <c r="J1917" s="179">
        <v>5.41</v>
      </c>
      <c r="K1917" s="179">
        <v>4.88</v>
      </c>
      <c r="L1917" s="179">
        <v>4.66</v>
      </c>
      <c r="M1917" s="179">
        <v>4.5999999999999996</v>
      </c>
      <c r="N1917" s="179">
        <v>5.18</v>
      </c>
      <c r="O1917" s="179">
        <v>5.52</v>
      </c>
      <c r="P1917" s="179">
        <v>4.87</v>
      </c>
      <c r="Q1917" s="179">
        <f t="shared" si="57"/>
        <v>5.368333333333335</v>
      </c>
      <c r="R1917" s="179" t="s">
        <v>993</v>
      </c>
    </row>
    <row r="1918" spans="1:18" x14ac:dyDescent="0.15">
      <c r="A1918" s="179" t="str">
        <f t="shared" si="56"/>
        <v>Tlaquepaque_Optimal Year Round_270</v>
      </c>
      <c r="B1918" s="179" t="s">
        <v>1159</v>
      </c>
      <c r="C1918" s="179">
        <v>21</v>
      </c>
      <c r="D1918" s="179">
        <v>270</v>
      </c>
      <c r="E1918" s="179">
        <v>4.75</v>
      </c>
      <c r="F1918" s="179">
        <v>5.33</v>
      </c>
      <c r="G1918" s="179">
        <v>5.82</v>
      </c>
      <c r="H1918" s="179">
        <v>5.62</v>
      </c>
      <c r="I1918" s="179">
        <v>5.26</v>
      </c>
      <c r="J1918" s="179">
        <v>4.9400000000000004</v>
      </c>
      <c r="K1918" s="179">
        <v>4.46</v>
      </c>
      <c r="L1918" s="179">
        <v>4.26</v>
      </c>
      <c r="M1918" s="179">
        <v>4.21</v>
      </c>
      <c r="N1918" s="179">
        <v>4.74</v>
      </c>
      <c r="O1918" s="179">
        <v>5.05</v>
      </c>
      <c r="P1918" s="179">
        <v>4.46</v>
      </c>
      <c r="Q1918" s="179">
        <f t="shared" si="57"/>
        <v>4.9083333333333332</v>
      </c>
      <c r="R1918" s="179" t="s">
        <v>993</v>
      </c>
    </row>
    <row r="1919" spans="1:18" x14ac:dyDescent="0.15">
      <c r="A1919" s="179" t="str">
        <f t="shared" si="56"/>
        <v>Toluca_Flat Surface_90</v>
      </c>
      <c r="B1919" s="429" t="s">
        <v>1160</v>
      </c>
      <c r="C1919" s="429">
        <v>0</v>
      </c>
      <c r="D1919" s="429">
        <v>90</v>
      </c>
      <c r="E1919" s="431">
        <v>4.74</v>
      </c>
      <c r="F1919" s="431">
        <v>5.68</v>
      </c>
      <c r="G1919" s="431">
        <v>6.47</v>
      </c>
      <c r="H1919" s="431">
        <v>6.38</v>
      </c>
      <c r="I1919" s="431">
        <v>6.21</v>
      </c>
      <c r="J1919" s="431">
        <v>5.57</v>
      </c>
      <c r="K1919" s="431">
        <v>5.48</v>
      </c>
      <c r="L1919" s="431">
        <v>5.31</v>
      </c>
      <c r="M1919" s="431">
        <v>4.88</v>
      </c>
      <c r="N1919" s="431">
        <v>4.87</v>
      </c>
      <c r="O1919" s="431">
        <v>4.7699999999999996</v>
      </c>
      <c r="P1919" s="431">
        <v>4.34</v>
      </c>
      <c r="Q1919" s="179">
        <f t="shared" si="57"/>
        <v>5.3916666666666666</v>
      </c>
      <c r="R1919" s="179" t="s">
        <v>994</v>
      </c>
    </row>
    <row r="1920" spans="1:18" x14ac:dyDescent="0.15">
      <c r="A1920" s="179" t="str">
        <f t="shared" si="56"/>
        <v>Toluca_Flat Surface_112.5</v>
      </c>
      <c r="B1920" s="429" t="s">
        <v>1160</v>
      </c>
      <c r="C1920" s="429">
        <v>0</v>
      </c>
      <c r="D1920" s="429">
        <v>112.5</v>
      </c>
      <c r="E1920" s="431">
        <v>4.74</v>
      </c>
      <c r="F1920" s="431">
        <v>5.68</v>
      </c>
      <c r="G1920" s="431">
        <v>6.47</v>
      </c>
      <c r="H1920" s="431">
        <v>6.38</v>
      </c>
      <c r="I1920" s="431">
        <v>6.21</v>
      </c>
      <c r="J1920" s="431">
        <v>5.57</v>
      </c>
      <c r="K1920" s="431">
        <v>5.48</v>
      </c>
      <c r="L1920" s="431">
        <v>5.31</v>
      </c>
      <c r="M1920" s="431">
        <v>4.88</v>
      </c>
      <c r="N1920" s="431">
        <v>4.87</v>
      </c>
      <c r="O1920" s="431">
        <v>4.7699999999999996</v>
      </c>
      <c r="P1920" s="431">
        <v>4.34</v>
      </c>
      <c r="Q1920" s="179">
        <f t="shared" si="57"/>
        <v>5.3916666666666666</v>
      </c>
      <c r="R1920" s="179" t="s">
        <v>994</v>
      </c>
    </row>
    <row r="1921" spans="1:18" x14ac:dyDescent="0.15">
      <c r="A1921" s="179" t="str">
        <f t="shared" si="56"/>
        <v>Toluca_Flat Surface_135</v>
      </c>
      <c r="B1921" s="429" t="s">
        <v>1160</v>
      </c>
      <c r="C1921" s="429">
        <v>0</v>
      </c>
      <c r="D1921" s="429">
        <v>135</v>
      </c>
      <c r="E1921" s="431">
        <v>4.74</v>
      </c>
      <c r="F1921" s="431">
        <v>5.68</v>
      </c>
      <c r="G1921" s="431">
        <v>6.47</v>
      </c>
      <c r="H1921" s="431">
        <v>6.38</v>
      </c>
      <c r="I1921" s="431">
        <v>6.21</v>
      </c>
      <c r="J1921" s="431">
        <v>5.57</v>
      </c>
      <c r="K1921" s="431">
        <v>5.48</v>
      </c>
      <c r="L1921" s="431">
        <v>5.31</v>
      </c>
      <c r="M1921" s="431">
        <v>4.88</v>
      </c>
      <c r="N1921" s="431">
        <v>4.87</v>
      </c>
      <c r="O1921" s="431">
        <v>4.7699999999999996</v>
      </c>
      <c r="P1921" s="431">
        <v>4.34</v>
      </c>
      <c r="Q1921" s="179">
        <f t="shared" si="57"/>
        <v>5.3916666666666666</v>
      </c>
      <c r="R1921" s="179" t="s">
        <v>994</v>
      </c>
    </row>
    <row r="1922" spans="1:18" x14ac:dyDescent="0.15">
      <c r="A1922" s="179" t="str">
        <f t="shared" ref="A1922:A1985" si="58">B1922&amp;"_"&amp;R1922&amp;"_"&amp;D1922</f>
        <v>Toluca_Flat Surface_157.5</v>
      </c>
      <c r="B1922" s="429" t="s">
        <v>1160</v>
      </c>
      <c r="C1922" s="429">
        <v>0</v>
      </c>
      <c r="D1922" s="429">
        <v>157.5</v>
      </c>
      <c r="E1922" s="431">
        <v>4.74</v>
      </c>
      <c r="F1922" s="431">
        <v>5.68</v>
      </c>
      <c r="G1922" s="431">
        <v>6.47</v>
      </c>
      <c r="H1922" s="431">
        <v>6.38</v>
      </c>
      <c r="I1922" s="431">
        <v>6.21</v>
      </c>
      <c r="J1922" s="431">
        <v>5.57</v>
      </c>
      <c r="K1922" s="431">
        <v>5.48</v>
      </c>
      <c r="L1922" s="431">
        <v>5.31</v>
      </c>
      <c r="M1922" s="431">
        <v>4.88</v>
      </c>
      <c r="N1922" s="431">
        <v>4.87</v>
      </c>
      <c r="O1922" s="431">
        <v>4.7699999999999996</v>
      </c>
      <c r="P1922" s="431">
        <v>4.34</v>
      </c>
      <c r="Q1922" s="179">
        <f t="shared" ref="Q1922:Q1985" si="59">AVERAGE(E1922:P1922)</f>
        <v>5.3916666666666666</v>
      </c>
      <c r="R1922" s="179" t="s">
        <v>994</v>
      </c>
    </row>
    <row r="1923" spans="1:18" x14ac:dyDescent="0.15">
      <c r="A1923" s="179" t="str">
        <f t="shared" si="58"/>
        <v>Toluca_Flat Surface_180</v>
      </c>
      <c r="B1923" s="429" t="s">
        <v>1160</v>
      </c>
      <c r="C1923" s="429">
        <v>0</v>
      </c>
      <c r="D1923" s="429">
        <v>180</v>
      </c>
      <c r="E1923" s="431">
        <v>4.74</v>
      </c>
      <c r="F1923" s="431">
        <v>5.68</v>
      </c>
      <c r="G1923" s="431">
        <v>6.47</v>
      </c>
      <c r="H1923" s="431">
        <v>6.38</v>
      </c>
      <c r="I1923" s="431">
        <v>6.21</v>
      </c>
      <c r="J1923" s="431">
        <v>5.57</v>
      </c>
      <c r="K1923" s="431">
        <v>5.48</v>
      </c>
      <c r="L1923" s="431">
        <v>5.31</v>
      </c>
      <c r="M1923" s="431">
        <v>4.88</v>
      </c>
      <c r="N1923" s="431">
        <v>4.87</v>
      </c>
      <c r="O1923" s="431">
        <v>4.7699999999999996</v>
      </c>
      <c r="P1923" s="431">
        <v>4.34</v>
      </c>
      <c r="Q1923" s="179">
        <f t="shared" si="59"/>
        <v>5.3916666666666666</v>
      </c>
      <c r="R1923" s="179" t="s">
        <v>994</v>
      </c>
    </row>
    <row r="1924" spans="1:18" x14ac:dyDescent="0.15">
      <c r="A1924" s="179" t="str">
        <f t="shared" si="58"/>
        <v>Toluca_Flat Surface_202.5</v>
      </c>
      <c r="B1924" s="429" t="s">
        <v>1160</v>
      </c>
      <c r="C1924" s="429">
        <v>0</v>
      </c>
      <c r="D1924" s="429">
        <v>202.5</v>
      </c>
      <c r="E1924" s="431">
        <v>4.74</v>
      </c>
      <c r="F1924" s="431">
        <v>5.68</v>
      </c>
      <c r="G1924" s="431">
        <v>6.47</v>
      </c>
      <c r="H1924" s="431">
        <v>6.38</v>
      </c>
      <c r="I1924" s="431">
        <v>6.21</v>
      </c>
      <c r="J1924" s="431">
        <v>5.57</v>
      </c>
      <c r="K1924" s="431">
        <v>5.48</v>
      </c>
      <c r="L1924" s="431">
        <v>5.31</v>
      </c>
      <c r="M1924" s="431">
        <v>4.88</v>
      </c>
      <c r="N1924" s="431">
        <v>4.87</v>
      </c>
      <c r="O1924" s="431">
        <v>4.7699999999999996</v>
      </c>
      <c r="P1924" s="431">
        <v>4.34</v>
      </c>
      <c r="Q1924" s="179">
        <f t="shared" si="59"/>
        <v>5.3916666666666666</v>
      </c>
      <c r="R1924" s="179" t="s">
        <v>994</v>
      </c>
    </row>
    <row r="1925" spans="1:18" x14ac:dyDescent="0.15">
      <c r="A1925" s="179" t="str">
        <f t="shared" si="58"/>
        <v>Toluca_Flat Surface_225</v>
      </c>
      <c r="B1925" s="429" t="s">
        <v>1160</v>
      </c>
      <c r="C1925" s="429">
        <v>0</v>
      </c>
      <c r="D1925" s="429">
        <v>225</v>
      </c>
      <c r="E1925" s="431">
        <v>4.74</v>
      </c>
      <c r="F1925" s="431">
        <v>5.68</v>
      </c>
      <c r="G1925" s="431">
        <v>6.47</v>
      </c>
      <c r="H1925" s="431">
        <v>6.38</v>
      </c>
      <c r="I1925" s="431">
        <v>6.21</v>
      </c>
      <c r="J1925" s="431">
        <v>5.57</v>
      </c>
      <c r="K1925" s="431">
        <v>5.48</v>
      </c>
      <c r="L1925" s="431">
        <v>5.31</v>
      </c>
      <c r="M1925" s="431">
        <v>4.88</v>
      </c>
      <c r="N1925" s="431">
        <v>4.87</v>
      </c>
      <c r="O1925" s="431">
        <v>4.7699999999999996</v>
      </c>
      <c r="P1925" s="431">
        <v>4.34</v>
      </c>
      <c r="Q1925" s="179">
        <f t="shared" si="59"/>
        <v>5.3916666666666666</v>
      </c>
      <c r="R1925" s="179" t="s">
        <v>994</v>
      </c>
    </row>
    <row r="1926" spans="1:18" x14ac:dyDescent="0.15">
      <c r="A1926" s="179" t="str">
        <f t="shared" si="58"/>
        <v>Toluca_Flat Surface_247.5</v>
      </c>
      <c r="B1926" s="429" t="s">
        <v>1160</v>
      </c>
      <c r="C1926" s="429">
        <v>0</v>
      </c>
      <c r="D1926" s="429">
        <v>247.5</v>
      </c>
      <c r="E1926" s="431">
        <v>4.74</v>
      </c>
      <c r="F1926" s="431">
        <v>5.68</v>
      </c>
      <c r="G1926" s="431">
        <v>6.47</v>
      </c>
      <c r="H1926" s="431">
        <v>6.38</v>
      </c>
      <c r="I1926" s="431">
        <v>6.21</v>
      </c>
      <c r="J1926" s="431">
        <v>5.57</v>
      </c>
      <c r="K1926" s="431">
        <v>5.48</v>
      </c>
      <c r="L1926" s="431">
        <v>5.31</v>
      </c>
      <c r="M1926" s="431">
        <v>4.88</v>
      </c>
      <c r="N1926" s="431">
        <v>4.87</v>
      </c>
      <c r="O1926" s="431">
        <v>4.7699999999999996</v>
      </c>
      <c r="P1926" s="431">
        <v>4.34</v>
      </c>
      <c r="Q1926" s="179">
        <f t="shared" si="59"/>
        <v>5.3916666666666666</v>
      </c>
      <c r="R1926" s="179" t="s">
        <v>994</v>
      </c>
    </row>
    <row r="1927" spans="1:18" x14ac:dyDescent="0.15">
      <c r="A1927" s="179" t="str">
        <f t="shared" si="58"/>
        <v>Toluca_Flat Surface_270</v>
      </c>
      <c r="B1927" s="429" t="s">
        <v>1160</v>
      </c>
      <c r="C1927" s="429">
        <v>0</v>
      </c>
      <c r="D1927" s="429">
        <v>270</v>
      </c>
      <c r="E1927" s="431">
        <v>4.74</v>
      </c>
      <c r="F1927" s="431">
        <v>5.68</v>
      </c>
      <c r="G1927" s="431">
        <v>6.47</v>
      </c>
      <c r="H1927" s="431">
        <v>6.38</v>
      </c>
      <c r="I1927" s="431">
        <v>6.21</v>
      </c>
      <c r="J1927" s="431">
        <v>5.57</v>
      </c>
      <c r="K1927" s="431">
        <v>5.48</v>
      </c>
      <c r="L1927" s="431">
        <v>5.31</v>
      </c>
      <c r="M1927" s="431">
        <v>4.88</v>
      </c>
      <c r="N1927" s="431">
        <v>4.87</v>
      </c>
      <c r="O1927" s="431">
        <v>4.7699999999999996</v>
      </c>
      <c r="P1927" s="431">
        <v>4.34</v>
      </c>
      <c r="Q1927" s="179">
        <f t="shared" si="59"/>
        <v>5.3916666666666666</v>
      </c>
      <c r="R1927" s="179" t="s">
        <v>994</v>
      </c>
    </row>
    <row r="1928" spans="1:18" x14ac:dyDescent="0.15">
      <c r="A1928" s="179" t="str">
        <f t="shared" si="58"/>
        <v>Toluca_Optimal Summer_90</v>
      </c>
      <c r="B1928" s="429" t="s">
        <v>1160</v>
      </c>
      <c r="C1928" s="429">
        <v>4</v>
      </c>
      <c r="D1928" s="429">
        <v>90</v>
      </c>
      <c r="E1928" s="431">
        <v>4</v>
      </c>
      <c r="F1928" s="431">
        <v>4.72</v>
      </c>
      <c r="G1928" s="431">
        <v>5.29</v>
      </c>
      <c r="H1928" s="431">
        <v>5.13</v>
      </c>
      <c r="I1928" s="431">
        <v>4.93</v>
      </c>
      <c r="J1928" s="431">
        <v>4.49</v>
      </c>
      <c r="K1928" s="431">
        <v>4.41</v>
      </c>
      <c r="L1928" s="431">
        <v>4.25</v>
      </c>
      <c r="M1928" s="431">
        <v>3.94</v>
      </c>
      <c r="N1928" s="431">
        <v>4</v>
      </c>
      <c r="O1928" s="431">
        <v>4</v>
      </c>
      <c r="P1928" s="431">
        <v>3.66</v>
      </c>
      <c r="Q1928" s="179">
        <f t="shared" si="59"/>
        <v>4.4016666666666664</v>
      </c>
      <c r="R1928" s="179" t="s">
        <v>958</v>
      </c>
    </row>
    <row r="1929" spans="1:18" x14ac:dyDescent="0.15">
      <c r="A1929" s="179" t="str">
        <f t="shared" si="58"/>
        <v>Toluca_Optimal Summer_112.5</v>
      </c>
      <c r="B1929" s="429" t="s">
        <v>1160</v>
      </c>
      <c r="C1929" s="429">
        <v>4</v>
      </c>
      <c r="D1929" s="429">
        <v>112.5</v>
      </c>
      <c r="E1929" s="431">
        <v>4.38</v>
      </c>
      <c r="F1929" s="431">
        <v>5.16</v>
      </c>
      <c r="G1929" s="431">
        <v>5.78</v>
      </c>
      <c r="H1929" s="431">
        <v>5.61</v>
      </c>
      <c r="I1929" s="431">
        <v>5.39</v>
      </c>
      <c r="J1929" s="431">
        <v>4.91</v>
      </c>
      <c r="K1929" s="431">
        <v>4.82</v>
      </c>
      <c r="L1929" s="431">
        <v>4.6500000000000004</v>
      </c>
      <c r="M1929" s="431">
        <v>4.3099999999999996</v>
      </c>
      <c r="N1929" s="431">
        <v>4.38</v>
      </c>
      <c r="O1929" s="431">
        <v>4.38</v>
      </c>
      <c r="P1929" s="431">
        <v>4</v>
      </c>
      <c r="Q1929" s="179">
        <f t="shared" si="59"/>
        <v>4.8141666666666669</v>
      </c>
      <c r="R1929" s="179" t="s">
        <v>958</v>
      </c>
    </row>
    <row r="1930" spans="1:18" x14ac:dyDescent="0.15">
      <c r="A1930" s="179" t="str">
        <f t="shared" si="58"/>
        <v>Toluca_Optimal Summer_135</v>
      </c>
      <c r="B1930" s="429" t="s">
        <v>1160</v>
      </c>
      <c r="C1930" s="429">
        <v>4</v>
      </c>
      <c r="D1930" s="429">
        <v>135</v>
      </c>
      <c r="E1930" s="431">
        <v>4.75</v>
      </c>
      <c r="F1930" s="431">
        <v>5.6</v>
      </c>
      <c r="G1930" s="431">
        <v>6.28</v>
      </c>
      <c r="H1930" s="431">
        <v>6.09</v>
      </c>
      <c r="I1930" s="431">
        <v>5.85</v>
      </c>
      <c r="J1930" s="431">
        <v>5.33</v>
      </c>
      <c r="K1930" s="431">
        <v>5.23</v>
      </c>
      <c r="L1930" s="431">
        <v>5.04</v>
      </c>
      <c r="M1930" s="431">
        <v>4.68</v>
      </c>
      <c r="N1930" s="431">
        <v>4.75</v>
      </c>
      <c r="O1930" s="431">
        <v>4.75</v>
      </c>
      <c r="P1930" s="431">
        <v>4.34</v>
      </c>
      <c r="Q1930" s="179">
        <f t="shared" si="59"/>
        <v>5.2241666666666662</v>
      </c>
      <c r="R1930" s="179" t="s">
        <v>958</v>
      </c>
    </row>
    <row r="1931" spans="1:18" x14ac:dyDescent="0.15">
      <c r="A1931" s="179" t="str">
        <f t="shared" si="58"/>
        <v>Toluca_Optimal Summer_157.5</v>
      </c>
      <c r="B1931" s="429" t="s">
        <v>1160</v>
      </c>
      <c r="C1931" s="429">
        <v>4</v>
      </c>
      <c r="D1931" s="429">
        <v>157.5</v>
      </c>
      <c r="E1931" s="431">
        <v>4.88</v>
      </c>
      <c r="F1931" s="431">
        <v>5.75</v>
      </c>
      <c r="G1931" s="431">
        <v>6.44</v>
      </c>
      <c r="H1931" s="431">
        <v>6.25</v>
      </c>
      <c r="I1931" s="431">
        <v>6.01</v>
      </c>
      <c r="J1931" s="431">
        <v>5.47</v>
      </c>
      <c r="K1931" s="431">
        <v>5.37</v>
      </c>
      <c r="L1931" s="431">
        <v>5.18</v>
      </c>
      <c r="M1931" s="431">
        <v>4.8099999999999996</v>
      </c>
      <c r="N1931" s="431">
        <v>4.88</v>
      </c>
      <c r="O1931" s="431">
        <v>4.88</v>
      </c>
      <c r="P1931" s="431">
        <v>4.46</v>
      </c>
      <c r="Q1931" s="179">
        <f t="shared" si="59"/>
        <v>5.3649999999999993</v>
      </c>
      <c r="R1931" s="179" t="s">
        <v>958</v>
      </c>
    </row>
    <row r="1932" spans="1:18" x14ac:dyDescent="0.15">
      <c r="A1932" s="179" t="str">
        <f t="shared" si="58"/>
        <v>Toluca_Optimal Summer_180</v>
      </c>
      <c r="B1932" s="429" t="s">
        <v>1160</v>
      </c>
      <c r="C1932" s="429">
        <v>4</v>
      </c>
      <c r="D1932" s="429">
        <v>180</v>
      </c>
      <c r="E1932" s="431">
        <v>5</v>
      </c>
      <c r="F1932" s="431">
        <v>5.9</v>
      </c>
      <c r="G1932" s="431">
        <v>6.61</v>
      </c>
      <c r="H1932" s="431">
        <v>6.41</v>
      </c>
      <c r="I1932" s="431">
        <v>6.16</v>
      </c>
      <c r="J1932" s="431">
        <v>5.61</v>
      </c>
      <c r="K1932" s="431">
        <v>5.51</v>
      </c>
      <c r="L1932" s="431">
        <v>5.31</v>
      </c>
      <c r="M1932" s="431">
        <v>4.93</v>
      </c>
      <c r="N1932" s="431">
        <v>5</v>
      </c>
      <c r="O1932" s="431">
        <v>5</v>
      </c>
      <c r="P1932" s="431">
        <v>4.57</v>
      </c>
      <c r="Q1932" s="179">
        <f t="shared" si="59"/>
        <v>5.5008333333333335</v>
      </c>
      <c r="R1932" s="179" t="s">
        <v>958</v>
      </c>
    </row>
    <row r="1933" spans="1:18" x14ac:dyDescent="0.15">
      <c r="A1933" s="179" t="str">
        <f t="shared" si="58"/>
        <v>Toluca_Optimal Summer_202.5</v>
      </c>
      <c r="B1933" s="429" t="s">
        <v>1160</v>
      </c>
      <c r="C1933" s="429">
        <v>4</v>
      </c>
      <c r="D1933" s="429">
        <v>202.5</v>
      </c>
      <c r="E1933" s="431">
        <v>4.88</v>
      </c>
      <c r="F1933" s="431">
        <v>5.75</v>
      </c>
      <c r="G1933" s="431">
        <v>6.44</v>
      </c>
      <c r="H1933" s="431">
        <v>6.25</v>
      </c>
      <c r="I1933" s="431">
        <v>6.01</v>
      </c>
      <c r="J1933" s="431">
        <v>5.47</v>
      </c>
      <c r="K1933" s="431">
        <v>5.37</v>
      </c>
      <c r="L1933" s="431">
        <v>5.18</v>
      </c>
      <c r="M1933" s="431">
        <v>4.8099999999999996</v>
      </c>
      <c r="N1933" s="431">
        <v>4.88</v>
      </c>
      <c r="O1933" s="431">
        <v>4.88</v>
      </c>
      <c r="P1933" s="431">
        <v>4.46</v>
      </c>
      <c r="Q1933" s="179">
        <f t="shared" si="59"/>
        <v>5.3649999999999993</v>
      </c>
      <c r="R1933" s="179" t="s">
        <v>958</v>
      </c>
    </row>
    <row r="1934" spans="1:18" x14ac:dyDescent="0.15">
      <c r="A1934" s="179" t="str">
        <f t="shared" si="58"/>
        <v>Toluca_Optimal Summer_225</v>
      </c>
      <c r="B1934" s="429" t="s">
        <v>1160</v>
      </c>
      <c r="C1934" s="429">
        <v>4</v>
      </c>
      <c r="D1934" s="429">
        <v>225</v>
      </c>
      <c r="E1934" s="429">
        <v>4.75</v>
      </c>
      <c r="F1934" s="429">
        <v>5.6</v>
      </c>
      <c r="G1934" s="429">
        <v>6.28</v>
      </c>
      <c r="H1934" s="429">
        <v>6.09</v>
      </c>
      <c r="I1934" s="429">
        <v>5.85</v>
      </c>
      <c r="J1934" s="429">
        <v>5.33</v>
      </c>
      <c r="K1934" s="429">
        <v>5.23</v>
      </c>
      <c r="L1934" s="429">
        <v>5.04</v>
      </c>
      <c r="M1934" s="429">
        <v>4.68</v>
      </c>
      <c r="N1934" s="429">
        <v>4.75</v>
      </c>
      <c r="O1934" s="429">
        <v>4.75</v>
      </c>
      <c r="P1934" s="429">
        <v>4.34</v>
      </c>
      <c r="Q1934" s="179">
        <f t="shared" si="59"/>
        <v>5.2241666666666662</v>
      </c>
      <c r="R1934" s="179" t="s">
        <v>958</v>
      </c>
    </row>
    <row r="1935" spans="1:18" x14ac:dyDescent="0.15">
      <c r="A1935" s="179" t="str">
        <f t="shared" si="58"/>
        <v>Toluca_Optimal Summer_247.5</v>
      </c>
      <c r="B1935" s="429" t="s">
        <v>1160</v>
      </c>
      <c r="C1935" s="429">
        <v>4</v>
      </c>
      <c r="D1935" s="429">
        <v>247.5</v>
      </c>
      <c r="E1935" s="429">
        <v>4.38</v>
      </c>
      <c r="F1935" s="429">
        <v>5.16</v>
      </c>
      <c r="G1935" s="429">
        <v>5.78</v>
      </c>
      <c r="H1935" s="429">
        <v>5.61</v>
      </c>
      <c r="I1935" s="429">
        <v>5.39</v>
      </c>
      <c r="J1935" s="429">
        <v>4.91</v>
      </c>
      <c r="K1935" s="429">
        <v>4.82</v>
      </c>
      <c r="L1935" s="429">
        <v>4.6500000000000004</v>
      </c>
      <c r="M1935" s="429">
        <v>4.3099999999999996</v>
      </c>
      <c r="N1935" s="429">
        <v>4.38</v>
      </c>
      <c r="O1935" s="429">
        <v>4.38</v>
      </c>
      <c r="P1935" s="429">
        <v>4</v>
      </c>
      <c r="Q1935" s="179">
        <f t="shared" si="59"/>
        <v>4.8141666666666669</v>
      </c>
      <c r="R1935" s="179" t="s">
        <v>958</v>
      </c>
    </row>
    <row r="1936" spans="1:18" x14ac:dyDescent="0.15">
      <c r="A1936" s="179" t="str">
        <f t="shared" si="58"/>
        <v>Toluca_Optimal Summer_270</v>
      </c>
      <c r="B1936" s="429" t="s">
        <v>1160</v>
      </c>
      <c r="C1936" s="429">
        <v>4</v>
      </c>
      <c r="D1936" s="429">
        <v>270</v>
      </c>
      <c r="E1936" s="429">
        <v>4</v>
      </c>
      <c r="F1936" s="429">
        <v>4.72</v>
      </c>
      <c r="G1936" s="429">
        <v>5.29</v>
      </c>
      <c r="H1936" s="429">
        <v>5.13</v>
      </c>
      <c r="I1936" s="429">
        <v>4.93</v>
      </c>
      <c r="J1936" s="429">
        <v>4.49</v>
      </c>
      <c r="K1936" s="429">
        <v>4.41</v>
      </c>
      <c r="L1936" s="429">
        <v>4.25</v>
      </c>
      <c r="M1936" s="429">
        <v>3.94</v>
      </c>
      <c r="N1936" s="429">
        <v>4</v>
      </c>
      <c r="O1936" s="429">
        <v>4</v>
      </c>
      <c r="P1936" s="429">
        <v>3.66</v>
      </c>
      <c r="Q1936" s="179">
        <f t="shared" si="59"/>
        <v>4.4016666666666664</v>
      </c>
      <c r="R1936" s="179" t="s">
        <v>958</v>
      </c>
    </row>
    <row r="1937" spans="1:18" x14ac:dyDescent="0.15">
      <c r="A1937" s="179" t="str">
        <f t="shared" si="58"/>
        <v>Toluca_Optimal Year Round_90</v>
      </c>
      <c r="B1937" s="429" t="s">
        <v>1160</v>
      </c>
      <c r="C1937" s="429">
        <v>19</v>
      </c>
      <c r="D1937" s="429">
        <v>90</v>
      </c>
      <c r="E1937" s="431">
        <v>4.62</v>
      </c>
      <c r="F1937" s="431">
        <v>5.21</v>
      </c>
      <c r="G1937" s="431">
        <v>5.5</v>
      </c>
      <c r="H1937" s="431">
        <v>5.03</v>
      </c>
      <c r="I1937" s="431">
        <v>4.62</v>
      </c>
      <c r="J1937" s="431">
        <v>4.47</v>
      </c>
      <c r="K1937" s="431">
        <v>4.37</v>
      </c>
      <c r="L1937" s="431">
        <v>4.0999999999999996</v>
      </c>
      <c r="M1937" s="431">
        <v>3.97</v>
      </c>
      <c r="N1937" s="431">
        <v>4.26</v>
      </c>
      <c r="O1937" s="431">
        <v>4.54</v>
      </c>
      <c r="P1937" s="431">
        <v>4.22</v>
      </c>
      <c r="Q1937" s="179">
        <f t="shared" si="59"/>
        <v>4.5758333333333328</v>
      </c>
      <c r="R1937" s="179" t="s">
        <v>993</v>
      </c>
    </row>
    <row r="1938" spans="1:18" x14ac:dyDescent="0.15">
      <c r="A1938" s="179" t="str">
        <f t="shared" si="58"/>
        <v>Toluca_Optimal Year Round_112.5</v>
      </c>
      <c r="B1938" s="429" t="s">
        <v>1160</v>
      </c>
      <c r="C1938" s="429">
        <v>19</v>
      </c>
      <c r="D1938" s="429">
        <v>112.5</v>
      </c>
      <c r="E1938" s="431">
        <v>5.05</v>
      </c>
      <c r="F1938" s="431">
        <v>5.7</v>
      </c>
      <c r="G1938" s="431">
        <v>6.01</v>
      </c>
      <c r="H1938" s="431">
        <v>5.5</v>
      </c>
      <c r="I1938" s="431">
        <v>5.0599999999999996</v>
      </c>
      <c r="J1938" s="431">
        <v>4.8899999999999997</v>
      </c>
      <c r="K1938" s="431">
        <v>4.78</v>
      </c>
      <c r="L1938" s="431">
        <v>4.49</v>
      </c>
      <c r="M1938" s="431">
        <v>4.34</v>
      </c>
      <c r="N1938" s="431">
        <v>4.66</v>
      </c>
      <c r="O1938" s="431">
        <v>4.97</v>
      </c>
      <c r="P1938" s="431">
        <v>4.62</v>
      </c>
      <c r="Q1938" s="179">
        <f t="shared" si="59"/>
        <v>5.0058333333333325</v>
      </c>
      <c r="R1938" s="179" t="s">
        <v>993</v>
      </c>
    </row>
    <row r="1939" spans="1:18" x14ac:dyDescent="0.15">
      <c r="A1939" s="179" t="str">
        <f t="shared" si="58"/>
        <v>Toluca_Optimal Year Round_135</v>
      </c>
      <c r="B1939" s="429" t="s">
        <v>1160</v>
      </c>
      <c r="C1939" s="429">
        <v>19</v>
      </c>
      <c r="D1939" s="429">
        <v>135</v>
      </c>
      <c r="E1939" s="431">
        <v>5.48</v>
      </c>
      <c r="F1939" s="431">
        <v>6.18</v>
      </c>
      <c r="G1939" s="431">
        <v>6.53</v>
      </c>
      <c r="H1939" s="431">
        <v>5.98</v>
      </c>
      <c r="I1939" s="431">
        <v>5.49</v>
      </c>
      <c r="J1939" s="431">
        <v>5.31</v>
      </c>
      <c r="K1939" s="431">
        <v>5.19</v>
      </c>
      <c r="L1939" s="431">
        <v>4.87</v>
      </c>
      <c r="M1939" s="431">
        <v>4.71</v>
      </c>
      <c r="N1939" s="431">
        <v>5.0599999999999996</v>
      </c>
      <c r="O1939" s="431">
        <v>5.4</v>
      </c>
      <c r="P1939" s="431">
        <v>5.0199999999999996</v>
      </c>
      <c r="Q1939" s="179">
        <f t="shared" si="59"/>
        <v>5.4349999999999996</v>
      </c>
      <c r="R1939" s="179" t="s">
        <v>993</v>
      </c>
    </row>
    <row r="1940" spans="1:18" x14ac:dyDescent="0.15">
      <c r="A1940" s="179" t="str">
        <f t="shared" si="58"/>
        <v>Toluca_Optimal Year Round_157.5</v>
      </c>
      <c r="B1940" s="429" t="s">
        <v>1160</v>
      </c>
      <c r="C1940" s="429">
        <v>19</v>
      </c>
      <c r="D1940" s="429">
        <v>157.5</v>
      </c>
      <c r="E1940" s="431">
        <v>5.63</v>
      </c>
      <c r="F1940" s="431">
        <v>6.35</v>
      </c>
      <c r="G1940" s="431">
        <v>6.7</v>
      </c>
      <c r="H1940" s="431">
        <v>6.13</v>
      </c>
      <c r="I1940" s="431">
        <v>5.64</v>
      </c>
      <c r="J1940" s="431">
        <v>5.45</v>
      </c>
      <c r="K1940" s="431">
        <v>5.32</v>
      </c>
      <c r="L1940" s="431">
        <v>5</v>
      </c>
      <c r="M1940" s="431">
        <v>4.84</v>
      </c>
      <c r="N1940" s="431">
        <v>5.2</v>
      </c>
      <c r="O1940" s="431">
        <v>5.54</v>
      </c>
      <c r="P1940" s="431">
        <v>5.15</v>
      </c>
      <c r="Q1940" s="179">
        <f t="shared" si="59"/>
        <v>5.5791666666666666</v>
      </c>
      <c r="R1940" s="179" t="s">
        <v>993</v>
      </c>
    </row>
    <row r="1941" spans="1:18" x14ac:dyDescent="0.15">
      <c r="A1941" s="179" t="str">
        <f t="shared" si="58"/>
        <v>Toluca_Optimal Year Round_180</v>
      </c>
      <c r="B1941" s="429" t="s">
        <v>1160</v>
      </c>
      <c r="C1941" s="429">
        <v>19</v>
      </c>
      <c r="D1941" s="429">
        <v>180</v>
      </c>
      <c r="E1941" s="431">
        <v>5.77</v>
      </c>
      <c r="F1941" s="431">
        <v>6.51</v>
      </c>
      <c r="G1941" s="431">
        <v>6.87</v>
      </c>
      <c r="H1941" s="431">
        <v>6.29</v>
      </c>
      <c r="I1941" s="431">
        <v>5.78</v>
      </c>
      <c r="J1941" s="431">
        <v>5.59</v>
      </c>
      <c r="K1941" s="431">
        <v>5.46</v>
      </c>
      <c r="L1941" s="431">
        <v>5.13</v>
      </c>
      <c r="M1941" s="431">
        <v>4.96</v>
      </c>
      <c r="N1941" s="431">
        <v>5.33</v>
      </c>
      <c r="O1941" s="431">
        <v>5.68</v>
      </c>
      <c r="P1941" s="431">
        <v>5.28</v>
      </c>
      <c r="Q1941" s="179">
        <f t="shared" si="59"/>
        <v>5.7208333333333341</v>
      </c>
      <c r="R1941" s="179" t="s">
        <v>993</v>
      </c>
    </row>
    <row r="1942" spans="1:18" x14ac:dyDescent="0.15">
      <c r="A1942" s="179" t="str">
        <f t="shared" si="58"/>
        <v>Toluca_Optimal Year Round_202.5</v>
      </c>
      <c r="B1942" s="429" t="s">
        <v>1160</v>
      </c>
      <c r="C1942" s="429">
        <v>19</v>
      </c>
      <c r="D1942" s="429">
        <v>202.5</v>
      </c>
      <c r="E1942" s="431">
        <v>5.63</v>
      </c>
      <c r="F1942" s="431">
        <v>6.35</v>
      </c>
      <c r="G1942" s="431">
        <v>6.7</v>
      </c>
      <c r="H1942" s="431">
        <v>6.13</v>
      </c>
      <c r="I1942" s="431">
        <v>5.64</v>
      </c>
      <c r="J1942" s="431">
        <v>5.45</v>
      </c>
      <c r="K1942" s="431">
        <v>5.32</v>
      </c>
      <c r="L1942" s="431">
        <v>5</v>
      </c>
      <c r="M1942" s="431">
        <v>4.84</v>
      </c>
      <c r="N1942" s="431">
        <v>5.2</v>
      </c>
      <c r="O1942" s="431">
        <v>5.54</v>
      </c>
      <c r="P1942" s="431">
        <v>5.15</v>
      </c>
      <c r="Q1942" s="179">
        <f t="shared" si="59"/>
        <v>5.5791666666666666</v>
      </c>
      <c r="R1942" s="179" t="s">
        <v>993</v>
      </c>
    </row>
    <row r="1943" spans="1:18" x14ac:dyDescent="0.15">
      <c r="A1943" s="179" t="str">
        <f t="shared" si="58"/>
        <v>Toluca_Optimal Year Round_225</v>
      </c>
      <c r="B1943" s="429" t="s">
        <v>1160</v>
      </c>
      <c r="C1943" s="429">
        <v>19</v>
      </c>
      <c r="D1943" s="429">
        <v>225</v>
      </c>
      <c r="E1943" s="429">
        <v>5.48</v>
      </c>
      <c r="F1943" s="429">
        <v>6.18</v>
      </c>
      <c r="G1943" s="429">
        <v>6.53</v>
      </c>
      <c r="H1943" s="429">
        <v>5.98</v>
      </c>
      <c r="I1943" s="429">
        <v>5.49</v>
      </c>
      <c r="J1943" s="429">
        <v>5.31</v>
      </c>
      <c r="K1943" s="429">
        <v>5.19</v>
      </c>
      <c r="L1943" s="429">
        <v>4.87</v>
      </c>
      <c r="M1943" s="429">
        <v>4.71</v>
      </c>
      <c r="N1943" s="429">
        <v>5.0599999999999996</v>
      </c>
      <c r="O1943" s="429">
        <v>5.4</v>
      </c>
      <c r="P1943" s="429">
        <v>5.0199999999999996</v>
      </c>
      <c r="Q1943" s="179">
        <f t="shared" si="59"/>
        <v>5.4349999999999996</v>
      </c>
      <c r="R1943" s="179" t="s">
        <v>993</v>
      </c>
    </row>
    <row r="1944" spans="1:18" x14ac:dyDescent="0.15">
      <c r="A1944" s="179" t="str">
        <f t="shared" si="58"/>
        <v>Toluca_Optimal Year Round_247.5</v>
      </c>
      <c r="B1944" s="429" t="s">
        <v>1160</v>
      </c>
      <c r="C1944" s="429">
        <v>19</v>
      </c>
      <c r="D1944" s="429">
        <v>247.5</v>
      </c>
      <c r="E1944" s="429">
        <v>5.05</v>
      </c>
      <c r="F1944" s="429">
        <v>5.7</v>
      </c>
      <c r="G1944" s="429">
        <v>6.01</v>
      </c>
      <c r="H1944" s="429">
        <v>5.5</v>
      </c>
      <c r="I1944" s="429">
        <v>5.0599999999999996</v>
      </c>
      <c r="J1944" s="429">
        <v>4.8899999999999997</v>
      </c>
      <c r="K1944" s="429">
        <v>4.78</v>
      </c>
      <c r="L1944" s="429">
        <v>4.49</v>
      </c>
      <c r="M1944" s="429">
        <v>4.34</v>
      </c>
      <c r="N1944" s="429">
        <v>4.66</v>
      </c>
      <c r="O1944" s="429">
        <v>4.97</v>
      </c>
      <c r="P1944" s="429">
        <v>4.62</v>
      </c>
      <c r="Q1944" s="179">
        <f t="shared" si="59"/>
        <v>5.0058333333333325</v>
      </c>
      <c r="R1944" s="179" t="s">
        <v>993</v>
      </c>
    </row>
    <row r="1945" spans="1:18" x14ac:dyDescent="0.15">
      <c r="A1945" s="179" t="str">
        <f t="shared" si="58"/>
        <v>Toluca_Optimal Year Round_270</v>
      </c>
      <c r="B1945" s="429" t="s">
        <v>1160</v>
      </c>
      <c r="C1945" s="429">
        <v>19</v>
      </c>
      <c r="D1945" s="429">
        <v>270</v>
      </c>
      <c r="E1945" s="429">
        <v>4.62</v>
      </c>
      <c r="F1945" s="429">
        <v>5.21</v>
      </c>
      <c r="G1945" s="429">
        <v>5.5</v>
      </c>
      <c r="H1945" s="429">
        <v>5.03</v>
      </c>
      <c r="I1945" s="429">
        <v>4.62</v>
      </c>
      <c r="J1945" s="429">
        <v>4.47</v>
      </c>
      <c r="K1945" s="429">
        <v>4.37</v>
      </c>
      <c r="L1945" s="429">
        <v>4.0999999999999996</v>
      </c>
      <c r="M1945" s="429">
        <v>3.97</v>
      </c>
      <c r="N1945" s="429">
        <v>4.26</v>
      </c>
      <c r="O1945" s="429">
        <v>4.54</v>
      </c>
      <c r="P1945" s="429">
        <v>4.22</v>
      </c>
      <c r="Q1945" s="179">
        <f t="shared" si="59"/>
        <v>4.5758333333333328</v>
      </c>
      <c r="R1945" s="179" t="s">
        <v>993</v>
      </c>
    </row>
    <row r="1946" spans="1:18" x14ac:dyDescent="0.15">
      <c r="A1946" s="179" t="str">
        <f t="shared" si="58"/>
        <v>Tonala_Flat Surface_90</v>
      </c>
      <c r="B1946" s="179" t="s">
        <v>1161</v>
      </c>
      <c r="C1946" s="179">
        <v>0</v>
      </c>
      <c r="D1946" s="179">
        <v>90</v>
      </c>
      <c r="E1946" s="179">
        <v>4.7699999999999996</v>
      </c>
      <c r="F1946" s="179">
        <v>5.72</v>
      </c>
      <c r="G1946" s="179">
        <v>6.78</v>
      </c>
      <c r="H1946" s="179">
        <v>7.11</v>
      </c>
      <c r="I1946" s="179">
        <v>7.11</v>
      </c>
      <c r="J1946" s="179">
        <v>6.17</v>
      </c>
      <c r="K1946" s="179">
        <v>5.63</v>
      </c>
      <c r="L1946" s="179">
        <v>5.51</v>
      </c>
      <c r="M1946" s="179">
        <v>5.14</v>
      </c>
      <c r="N1946" s="179">
        <v>5.31</v>
      </c>
      <c r="O1946" s="179">
        <v>5.13</v>
      </c>
      <c r="P1946" s="179">
        <v>4.45</v>
      </c>
      <c r="Q1946" s="179">
        <f t="shared" si="59"/>
        <v>5.7358333333333329</v>
      </c>
      <c r="R1946" s="179" t="s">
        <v>994</v>
      </c>
    </row>
    <row r="1947" spans="1:18" x14ac:dyDescent="0.15">
      <c r="A1947" s="179" t="str">
        <f t="shared" si="58"/>
        <v>Tonala_Flat Surface_112.5</v>
      </c>
      <c r="B1947" s="179" t="s">
        <v>1161</v>
      </c>
      <c r="C1947" s="179">
        <v>0</v>
      </c>
      <c r="D1947" s="179">
        <v>112.5</v>
      </c>
      <c r="E1947" s="179">
        <v>4.7699999999999996</v>
      </c>
      <c r="F1947" s="179">
        <v>5.72</v>
      </c>
      <c r="G1947" s="179">
        <v>6.78</v>
      </c>
      <c r="H1947" s="179">
        <v>7.11</v>
      </c>
      <c r="I1947" s="179">
        <v>7.11</v>
      </c>
      <c r="J1947" s="179">
        <v>6.17</v>
      </c>
      <c r="K1947" s="179">
        <v>5.63</v>
      </c>
      <c r="L1947" s="179">
        <v>5.51</v>
      </c>
      <c r="M1947" s="179">
        <v>5.14</v>
      </c>
      <c r="N1947" s="179">
        <v>5.31</v>
      </c>
      <c r="O1947" s="179">
        <v>5.13</v>
      </c>
      <c r="P1947" s="179">
        <v>4.45</v>
      </c>
      <c r="Q1947" s="179">
        <f t="shared" si="59"/>
        <v>5.7358333333333329</v>
      </c>
      <c r="R1947" s="179" t="s">
        <v>994</v>
      </c>
    </row>
    <row r="1948" spans="1:18" x14ac:dyDescent="0.15">
      <c r="A1948" s="179" t="str">
        <f t="shared" si="58"/>
        <v>Tonala_Flat Surface_135</v>
      </c>
      <c r="B1948" s="179" t="s">
        <v>1161</v>
      </c>
      <c r="C1948" s="179">
        <v>0</v>
      </c>
      <c r="D1948" s="179">
        <v>135</v>
      </c>
      <c r="E1948" s="179">
        <v>4.7699999999999996</v>
      </c>
      <c r="F1948" s="179">
        <v>5.72</v>
      </c>
      <c r="G1948" s="179">
        <v>6.78</v>
      </c>
      <c r="H1948" s="179">
        <v>7.11</v>
      </c>
      <c r="I1948" s="179">
        <v>7.11</v>
      </c>
      <c r="J1948" s="179">
        <v>6.17</v>
      </c>
      <c r="K1948" s="179">
        <v>5.63</v>
      </c>
      <c r="L1948" s="179">
        <v>5.51</v>
      </c>
      <c r="M1948" s="179">
        <v>5.14</v>
      </c>
      <c r="N1948" s="179">
        <v>5.31</v>
      </c>
      <c r="O1948" s="179">
        <v>5.13</v>
      </c>
      <c r="P1948" s="179">
        <v>4.45</v>
      </c>
      <c r="Q1948" s="179">
        <f t="shared" si="59"/>
        <v>5.7358333333333329</v>
      </c>
      <c r="R1948" s="179" t="s">
        <v>994</v>
      </c>
    </row>
    <row r="1949" spans="1:18" x14ac:dyDescent="0.15">
      <c r="A1949" s="179" t="str">
        <f t="shared" si="58"/>
        <v>Tonala_Flat Surface_157.5</v>
      </c>
      <c r="B1949" s="179" t="s">
        <v>1161</v>
      </c>
      <c r="C1949" s="179">
        <v>0</v>
      </c>
      <c r="D1949" s="179">
        <v>157.5</v>
      </c>
      <c r="E1949" s="179">
        <v>4.7699999999999996</v>
      </c>
      <c r="F1949" s="179">
        <v>5.72</v>
      </c>
      <c r="G1949" s="179">
        <v>6.78</v>
      </c>
      <c r="H1949" s="179">
        <v>7.11</v>
      </c>
      <c r="I1949" s="179">
        <v>7.11</v>
      </c>
      <c r="J1949" s="179">
        <v>6.17</v>
      </c>
      <c r="K1949" s="179">
        <v>5.63</v>
      </c>
      <c r="L1949" s="179">
        <v>5.51</v>
      </c>
      <c r="M1949" s="179">
        <v>5.14</v>
      </c>
      <c r="N1949" s="179">
        <v>5.31</v>
      </c>
      <c r="O1949" s="179">
        <v>5.13</v>
      </c>
      <c r="P1949" s="179">
        <v>4.45</v>
      </c>
      <c r="Q1949" s="179">
        <f t="shared" si="59"/>
        <v>5.7358333333333329</v>
      </c>
      <c r="R1949" s="179" t="s">
        <v>994</v>
      </c>
    </row>
    <row r="1950" spans="1:18" x14ac:dyDescent="0.15">
      <c r="A1950" s="179" t="str">
        <f t="shared" si="58"/>
        <v>Tonala_Flat Surface_180</v>
      </c>
      <c r="B1950" s="179" t="s">
        <v>1161</v>
      </c>
      <c r="C1950" s="179">
        <v>0</v>
      </c>
      <c r="D1950" s="179">
        <v>180</v>
      </c>
      <c r="E1950" s="179">
        <v>4.7699999999999996</v>
      </c>
      <c r="F1950" s="179">
        <v>5.72</v>
      </c>
      <c r="G1950" s="179">
        <v>6.78</v>
      </c>
      <c r="H1950" s="179">
        <v>7.11</v>
      </c>
      <c r="I1950" s="179">
        <v>7.11</v>
      </c>
      <c r="J1950" s="179">
        <v>6.17</v>
      </c>
      <c r="K1950" s="179">
        <v>5.63</v>
      </c>
      <c r="L1950" s="179">
        <v>5.51</v>
      </c>
      <c r="M1950" s="179">
        <v>5.14</v>
      </c>
      <c r="N1950" s="179">
        <v>5.31</v>
      </c>
      <c r="O1950" s="179">
        <v>5.13</v>
      </c>
      <c r="P1950" s="179">
        <v>4.45</v>
      </c>
      <c r="Q1950" s="179">
        <f t="shared" si="59"/>
        <v>5.7358333333333329</v>
      </c>
      <c r="R1950" s="179" t="s">
        <v>994</v>
      </c>
    </row>
    <row r="1951" spans="1:18" x14ac:dyDescent="0.15">
      <c r="A1951" s="179" t="str">
        <f t="shared" si="58"/>
        <v>Tonala_Flat Surface_202.5</v>
      </c>
      <c r="B1951" s="179" t="s">
        <v>1161</v>
      </c>
      <c r="C1951" s="179">
        <v>0</v>
      </c>
      <c r="D1951" s="179">
        <v>202.5</v>
      </c>
      <c r="E1951" s="179">
        <v>4.7699999999999996</v>
      </c>
      <c r="F1951" s="179">
        <v>5.72</v>
      </c>
      <c r="G1951" s="179">
        <v>6.78</v>
      </c>
      <c r="H1951" s="179">
        <v>7.11</v>
      </c>
      <c r="I1951" s="179">
        <v>7.11</v>
      </c>
      <c r="J1951" s="179">
        <v>6.17</v>
      </c>
      <c r="K1951" s="179">
        <v>5.63</v>
      </c>
      <c r="L1951" s="179">
        <v>5.51</v>
      </c>
      <c r="M1951" s="179">
        <v>5.14</v>
      </c>
      <c r="N1951" s="179">
        <v>5.31</v>
      </c>
      <c r="O1951" s="179">
        <v>5.13</v>
      </c>
      <c r="P1951" s="179">
        <v>4.45</v>
      </c>
      <c r="Q1951" s="179">
        <f t="shared" si="59"/>
        <v>5.7358333333333329</v>
      </c>
      <c r="R1951" s="179" t="s">
        <v>994</v>
      </c>
    </row>
    <row r="1952" spans="1:18" x14ac:dyDescent="0.15">
      <c r="A1952" s="179" t="str">
        <f t="shared" si="58"/>
        <v>Tonala_Flat Surface_225</v>
      </c>
      <c r="B1952" s="179" t="s">
        <v>1161</v>
      </c>
      <c r="C1952" s="179">
        <v>0</v>
      </c>
      <c r="D1952" s="179">
        <v>225</v>
      </c>
      <c r="E1952" s="179">
        <v>4.7699999999999996</v>
      </c>
      <c r="F1952" s="179">
        <v>5.72</v>
      </c>
      <c r="G1952" s="179">
        <v>6.78</v>
      </c>
      <c r="H1952" s="179">
        <v>7.11</v>
      </c>
      <c r="I1952" s="179">
        <v>7.11</v>
      </c>
      <c r="J1952" s="179">
        <v>6.17</v>
      </c>
      <c r="K1952" s="179">
        <v>5.63</v>
      </c>
      <c r="L1952" s="179">
        <v>5.51</v>
      </c>
      <c r="M1952" s="179">
        <v>5.14</v>
      </c>
      <c r="N1952" s="179">
        <v>5.31</v>
      </c>
      <c r="O1952" s="179">
        <v>5.13</v>
      </c>
      <c r="P1952" s="179">
        <v>4.45</v>
      </c>
      <c r="Q1952" s="179">
        <f t="shared" si="59"/>
        <v>5.7358333333333329</v>
      </c>
      <c r="R1952" s="179" t="s">
        <v>994</v>
      </c>
    </row>
    <row r="1953" spans="1:18" x14ac:dyDescent="0.15">
      <c r="A1953" s="179" t="str">
        <f t="shared" si="58"/>
        <v>Tonala_Flat Surface_247.5</v>
      </c>
      <c r="B1953" s="179" t="s">
        <v>1161</v>
      </c>
      <c r="C1953" s="179">
        <v>0</v>
      </c>
      <c r="D1953" s="179">
        <v>247.5</v>
      </c>
      <c r="E1953" s="179">
        <v>4.7699999999999996</v>
      </c>
      <c r="F1953" s="179">
        <v>5.72</v>
      </c>
      <c r="G1953" s="179">
        <v>6.78</v>
      </c>
      <c r="H1953" s="179">
        <v>7.11</v>
      </c>
      <c r="I1953" s="179">
        <v>7.11</v>
      </c>
      <c r="J1953" s="179">
        <v>6.17</v>
      </c>
      <c r="K1953" s="179">
        <v>5.63</v>
      </c>
      <c r="L1953" s="179">
        <v>5.51</v>
      </c>
      <c r="M1953" s="179">
        <v>5.14</v>
      </c>
      <c r="N1953" s="179">
        <v>5.31</v>
      </c>
      <c r="O1953" s="179">
        <v>5.13</v>
      </c>
      <c r="P1953" s="179">
        <v>4.45</v>
      </c>
      <c r="Q1953" s="179">
        <f t="shared" si="59"/>
        <v>5.7358333333333329</v>
      </c>
      <c r="R1953" s="179" t="s">
        <v>994</v>
      </c>
    </row>
    <row r="1954" spans="1:18" x14ac:dyDescent="0.15">
      <c r="A1954" s="179" t="str">
        <f t="shared" si="58"/>
        <v>Tonala_Flat Surface_270</v>
      </c>
      <c r="B1954" s="179" t="s">
        <v>1161</v>
      </c>
      <c r="C1954" s="179">
        <v>0</v>
      </c>
      <c r="D1954" s="179">
        <v>270</v>
      </c>
      <c r="E1954" s="179">
        <v>4.7699999999999996</v>
      </c>
      <c r="F1954" s="179">
        <v>5.72</v>
      </c>
      <c r="G1954" s="179">
        <v>6.78</v>
      </c>
      <c r="H1954" s="179">
        <v>7.11</v>
      </c>
      <c r="I1954" s="179">
        <v>7.11</v>
      </c>
      <c r="J1954" s="179">
        <v>6.17</v>
      </c>
      <c r="K1954" s="179">
        <v>5.63</v>
      </c>
      <c r="L1954" s="179">
        <v>5.51</v>
      </c>
      <c r="M1954" s="179">
        <v>5.14</v>
      </c>
      <c r="N1954" s="179">
        <v>5.31</v>
      </c>
      <c r="O1954" s="179">
        <v>5.13</v>
      </c>
      <c r="P1954" s="179">
        <v>4.45</v>
      </c>
      <c r="Q1954" s="179">
        <f t="shared" si="59"/>
        <v>5.7358333333333329</v>
      </c>
      <c r="R1954" s="179" t="s">
        <v>994</v>
      </c>
    </row>
    <row r="1955" spans="1:18" x14ac:dyDescent="0.15">
      <c r="A1955" s="179" t="str">
        <f t="shared" si="58"/>
        <v>Tonala_Optimal Summer_90</v>
      </c>
      <c r="B1955" s="179" t="s">
        <v>1161</v>
      </c>
      <c r="C1955" s="179">
        <v>6</v>
      </c>
      <c r="D1955" s="179">
        <v>90</v>
      </c>
      <c r="E1955" s="179">
        <v>4.09</v>
      </c>
      <c r="F1955" s="179">
        <v>4.8099999999999996</v>
      </c>
      <c r="G1955" s="179">
        <v>5.58</v>
      </c>
      <c r="H1955" s="179">
        <v>5.72</v>
      </c>
      <c r="I1955" s="179">
        <v>5.63</v>
      </c>
      <c r="J1955" s="179">
        <v>4.9800000000000004</v>
      </c>
      <c r="K1955" s="179">
        <v>4.53</v>
      </c>
      <c r="L1955" s="179">
        <v>4.41</v>
      </c>
      <c r="M1955" s="179">
        <v>4.17</v>
      </c>
      <c r="N1955" s="179">
        <v>4.41</v>
      </c>
      <c r="O1955" s="179">
        <v>4.38</v>
      </c>
      <c r="P1955" s="179">
        <v>3.82</v>
      </c>
      <c r="Q1955" s="179">
        <f t="shared" si="59"/>
        <v>4.7108333333333334</v>
      </c>
      <c r="R1955" s="179" t="s">
        <v>958</v>
      </c>
    </row>
    <row r="1956" spans="1:18" x14ac:dyDescent="0.15">
      <c r="A1956" s="179" t="str">
        <f t="shared" si="58"/>
        <v>Tonala_Optimal Summer_112.5</v>
      </c>
      <c r="B1956" s="179" t="s">
        <v>1161</v>
      </c>
      <c r="C1956" s="179">
        <v>6</v>
      </c>
      <c r="D1956" s="179">
        <v>112.5</v>
      </c>
      <c r="E1956" s="179">
        <v>4.47</v>
      </c>
      <c r="F1956" s="179">
        <v>5.26</v>
      </c>
      <c r="G1956" s="179">
        <v>6.1</v>
      </c>
      <c r="H1956" s="179">
        <v>6.26</v>
      </c>
      <c r="I1956" s="179">
        <v>6.16</v>
      </c>
      <c r="J1956" s="179">
        <v>5.44</v>
      </c>
      <c r="K1956" s="179">
        <v>4.95</v>
      </c>
      <c r="L1956" s="179">
        <v>4.82</v>
      </c>
      <c r="M1956" s="179">
        <v>4.5599999999999996</v>
      </c>
      <c r="N1956" s="179">
        <v>4.82</v>
      </c>
      <c r="O1956" s="179">
        <v>4.8</v>
      </c>
      <c r="P1956" s="179">
        <v>4.18</v>
      </c>
      <c r="Q1956" s="179">
        <f t="shared" si="59"/>
        <v>5.1516666666666664</v>
      </c>
      <c r="R1956" s="179" t="s">
        <v>958</v>
      </c>
    </row>
    <row r="1957" spans="1:18" x14ac:dyDescent="0.15">
      <c r="A1957" s="179" t="str">
        <f t="shared" si="58"/>
        <v>Tonala_Optimal Summer_135</v>
      </c>
      <c r="B1957" s="179" t="s">
        <v>1161</v>
      </c>
      <c r="C1957" s="179">
        <v>6</v>
      </c>
      <c r="D1957" s="179">
        <v>135</v>
      </c>
      <c r="E1957" s="179">
        <v>4.8499999999999996</v>
      </c>
      <c r="F1957" s="179">
        <v>5.71</v>
      </c>
      <c r="G1957" s="179">
        <v>6.62</v>
      </c>
      <c r="H1957" s="179">
        <v>6.79</v>
      </c>
      <c r="I1957" s="179">
        <v>6.69</v>
      </c>
      <c r="J1957" s="179">
        <v>5.91</v>
      </c>
      <c r="K1957" s="179">
        <v>5.38</v>
      </c>
      <c r="L1957" s="179">
        <v>5.23</v>
      </c>
      <c r="M1957" s="179">
        <v>4.95</v>
      </c>
      <c r="N1957" s="179">
        <v>5.23</v>
      </c>
      <c r="O1957" s="179">
        <v>5.21</v>
      </c>
      <c r="P1957" s="179">
        <v>4.54</v>
      </c>
      <c r="Q1957" s="179">
        <f t="shared" si="59"/>
        <v>5.5925000000000011</v>
      </c>
      <c r="R1957" s="179" t="s">
        <v>958</v>
      </c>
    </row>
    <row r="1958" spans="1:18" x14ac:dyDescent="0.15">
      <c r="A1958" s="179" t="str">
        <f t="shared" si="58"/>
        <v>Tonala_Optimal Summer_157.5</v>
      </c>
      <c r="B1958" s="179" t="s">
        <v>1161</v>
      </c>
      <c r="C1958" s="179">
        <v>6</v>
      </c>
      <c r="D1958" s="179">
        <v>157.5</v>
      </c>
      <c r="E1958" s="179">
        <v>4.9800000000000004</v>
      </c>
      <c r="F1958" s="179">
        <v>5.86</v>
      </c>
      <c r="G1958" s="179">
        <v>6.8</v>
      </c>
      <c r="H1958" s="179">
        <v>6.97</v>
      </c>
      <c r="I1958" s="179">
        <v>6.86</v>
      </c>
      <c r="J1958" s="179">
        <v>6.06</v>
      </c>
      <c r="K1958" s="179">
        <v>5.52</v>
      </c>
      <c r="L1958" s="179">
        <v>5.37</v>
      </c>
      <c r="M1958" s="179">
        <v>5.08</v>
      </c>
      <c r="N1958" s="179">
        <v>5.37</v>
      </c>
      <c r="O1958" s="179">
        <v>5.34</v>
      </c>
      <c r="P1958" s="179">
        <v>4.66</v>
      </c>
      <c r="Q1958" s="179">
        <f t="shared" si="59"/>
        <v>5.7391666666666659</v>
      </c>
      <c r="R1958" s="179" t="s">
        <v>958</v>
      </c>
    </row>
    <row r="1959" spans="1:18" x14ac:dyDescent="0.15">
      <c r="A1959" s="179" t="str">
        <f t="shared" si="58"/>
        <v>Tonala_Optimal Summer_180</v>
      </c>
      <c r="B1959" s="179" t="s">
        <v>1161</v>
      </c>
      <c r="C1959" s="179">
        <v>6</v>
      </c>
      <c r="D1959" s="179">
        <v>180</v>
      </c>
      <c r="E1959" s="179">
        <v>5.1100000000000003</v>
      </c>
      <c r="F1959" s="179">
        <v>6.01</v>
      </c>
      <c r="G1959" s="179">
        <v>6.97</v>
      </c>
      <c r="H1959" s="179">
        <v>7.15</v>
      </c>
      <c r="I1959" s="179">
        <v>7.04</v>
      </c>
      <c r="J1959" s="179">
        <v>6.22</v>
      </c>
      <c r="K1959" s="179">
        <v>5.66</v>
      </c>
      <c r="L1959" s="179">
        <v>5.51</v>
      </c>
      <c r="M1959" s="179">
        <v>5.21</v>
      </c>
      <c r="N1959" s="179">
        <v>5.51</v>
      </c>
      <c r="O1959" s="179">
        <v>5.48</v>
      </c>
      <c r="P1959" s="179">
        <v>4.78</v>
      </c>
      <c r="Q1959" s="179">
        <f t="shared" si="59"/>
        <v>5.8874999999999993</v>
      </c>
      <c r="R1959" s="179" t="s">
        <v>958</v>
      </c>
    </row>
    <row r="1960" spans="1:18" x14ac:dyDescent="0.15">
      <c r="A1960" s="179" t="str">
        <f t="shared" si="58"/>
        <v>Tonala_Optimal Summer_202.5</v>
      </c>
      <c r="B1960" s="179" t="s">
        <v>1161</v>
      </c>
      <c r="C1960" s="179">
        <v>6</v>
      </c>
      <c r="D1960" s="179">
        <v>202.5</v>
      </c>
      <c r="E1960" s="179">
        <v>4.9800000000000004</v>
      </c>
      <c r="F1960" s="179">
        <v>5.86</v>
      </c>
      <c r="G1960" s="179">
        <v>6.8</v>
      </c>
      <c r="H1960" s="179">
        <v>6.97</v>
      </c>
      <c r="I1960" s="179">
        <v>6.86</v>
      </c>
      <c r="J1960" s="179">
        <v>6.06</v>
      </c>
      <c r="K1960" s="179">
        <v>5.52</v>
      </c>
      <c r="L1960" s="179">
        <v>5.37</v>
      </c>
      <c r="M1960" s="179">
        <v>5.08</v>
      </c>
      <c r="N1960" s="179">
        <v>5.37</v>
      </c>
      <c r="O1960" s="179">
        <v>5.34</v>
      </c>
      <c r="P1960" s="179">
        <v>4.66</v>
      </c>
      <c r="Q1960" s="179">
        <f t="shared" si="59"/>
        <v>5.7391666666666659</v>
      </c>
      <c r="R1960" s="179" t="s">
        <v>958</v>
      </c>
    </row>
    <row r="1961" spans="1:18" x14ac:dyDescent="0.15">
      <c r="A1961" s="179" t="str">
        <f t="shared" si="58"/>
        <v>Tonala_Optimal Summer_225</v>
      </c>
      <c r="B1961" s="179" t="s">
        <v>1161</v>
      </c>
      <c r="C1961" s="179">
        <v>6</v>
      </c>
      <c r="D1961" s="179">
        <v>225</v>
      </c>
      <c r="E1961" s="179">
        <v>4.8499999999999996</v>
      </c>
      <c r="F1961" s="179">
        <v>5.71</v>
      </c>
      <c r="G1961" s="179">
        <v>6.62</v>
      </c>
      <c r="H1961" s="179">
        <v>6.79</v>
      </c>
      <c r="I1961" s="179">
        <v>6.69</v>
      </c>
      <c r="J1961" s="179">
        <v>5.91</v>
      </c>
      <c r="K1961" s="179">
        <v>5.38</v>
      </c>
      <c r="L1961" s="179">
        <v>5.23</v>
      </c>
      <c r="M1961" s="179">
        <v>4.95</v>
      </c>
      <c r="N1961" s="179">
        <v>5.23</v>
      </c>
      <c r="O1961" s="179">
        <v>5.21</v>
      </c>
      <c r="P1961" s="179">
        <v>4.54</v>
      </c>
      <c r="Q1961" s="179">
        <f t="shared" si="59"/>
        <v>5.5925000000000011</v>
      </c>
      <c r="R1961" s="179" t="s">
        <v>958</v>
      </c>
    </row>
    <row r="1962" spans="1:18" x14ac:dyDescent="0.15">
      <c r="A1962" s="179" t="str">
        <f t="shared" si="58"/>
        <v>Tonala_Optimal Summer_247.5</v>
      </c>
      <c r="B1962" s="179" t="s">
        <v>1161</v>
      </c>
      <c r="C1962" s="179">
        <v>6</v>
      </c>
      <c r="D1962" s="179">
        <v>247.5</v>
      </c>
      <c r="E1962" s="179">
        <v>4.47</v>
      </c>
      <c r="F1962" s="179">
        <v>5.26</v>
      </c>
      <c r="G1962" s="179">
        <v>6.1</v>
      </c>
      <c r="H1962" s="179">
        <v>6.26</v>
      </c>
      <c r="I1962" s="179">
        <v>6.16</v>
      </c>
      <c r="J1962" s="179">
        <v>5.44</v>
      </c>
      <c r="K1962" s="179">
        <v>4.95</v>
      </c>
      <c r="L1962" s="179">
        <v>4.82</v>
      </c>
      <c r="M1962" s="179">
        <v>4.5599999999999996</v>
      </c>
      <c r="N1962" s="179">
        <v>4.82</v>
      </c>
      <c r="O1962" s="179">
        <v>4.8</v>
      </c>
      <c r="P1962" s="179">
        <v>4.18</v>
      </c>
      <c r="Q1962" s="179">
        <f t="shared" si="59"/>
        <v>5.1516666666666664</v>
      </c>
      <c r="R1962" s="179" t="s">
        <v>958</v>
      </c>
    </row>
    <row r="1963" spans="1:18" x14ac:dyDescent="0.15">
      <c r="A1963" s="179" t="str">
        <f t="shared" si="58"/>
        <v>Tonala_Optimal Summer_270</v>
      </c>
      <c r="B1963" s="179" t="s">
        <v>1161</v>
      </c>
      <c r="C1963" s="179">
        <v>6</v>
      </c>
      <c r="D1963" s="179">
        <v>270</v>
      </c>
      <c r="E1963" s="179">
        <v>4.09</v>
      </c>
      <c r="F1963" s="179">
        <v>4.8099999999999996</v>
      </c>
      <c r="G1963" s="179">
        <v>5.58</v>
      </c>
      <c r="H1963" s="179">
        <v>5.72</v>
      </c>
      <c r="I1963" s="179">
        <v>5.63</v>
      </c>
      <c r="J1963" s="179">
        <v>4.9800000000000004</v>
      </c>
      <c r="K1963" s="179">
        <v>4.53</v>
      </c>
      <c r="L1963" s="179">
        <v>4.41</v>
      </c>
      <c r="M1963" s="179">
        <v>4.17</v>
      </c>
      <c r="N1963" s="179">
        <v>4.41</v>
      </c>
      <c r="O1963" s="179">
        <v>4.38</v>
      </c>
      <c r="P1963" s="179">
        <v>3.82</v>
      </c>
      <c r="Q1963" s="179">
        <f t="shared" si="59"/>
        <v>4.7108333333333334</v>
      </c>
      <c r="R1963" s="179" t="s">
        <v>958</v>
      </c>
    </row>
    <row r="1964" spans="1:18" x14ac:dyDescent="0.15">
      <c r="A1964" s="179" t="str">
        <f t="shared" si="58"/>
        <v>Tonala_Optimal Year Round_90</v>
      </c>
      <c r="B1964" s="179" t="s">
        <v>1161</v>
      </c>
      <c r="C1964" s="179">
        <v>21</v>
      </c>
      <c r="D1964" s="179">
        <v>90</v>
      </c>
      <c r="E1964" s="179">
        <v>4.75</v>
      </c>
      <c r="F1964" s="179">
        <v>5.33</v>
      </c>
      <c r="G1964" s="179">
        <v>5.82</v>
      </c>
      <c r="H1964" s="179">
        <v>5.62</v>
      </c>
      <c r="I1964" s="179">
        <v>5.26</v>
      </c>
      <c r="J1964" s="179">
        <v>4.9400000000000004</v>
      </c>
      <c r="K1964" s="179">
        <v>4.46</v>
      </c>
      <c r="L1964" s="179">
        <v>4.26</v>
      </c>
      <c r="M1964" s="179">
        <v>4.21</v>
      </c>
      <c r="N1964" s="179">
        <v>4.74</v>
      </c>
      <c r="O1964" s="179">
        <v>5.05</v>
      </c>
      <c r="P1964" s="179">
        <v>4.46</v>
      </c>
      <c r="Q1964" s="179">
        <f t="shared" si="59"/>
        <v>4.9083333333333332</v>
      </c>
      <c r="R1964" s="179" t="s">
        <v>993</v>
      </c>
    </row>
    <row r="1965" spans="1:18" x14ac:dyDescent="0.15">
      <c r="A1965" s="179" t="str">
        <f t="shared" si="58"/>
        <v>Tonala_Optimal Year Round_112.5</v>
      </c>
      <c r="B1965" s="179" t="s">
        <v>1161</v>
      </c>
      <c r="C1965" s="179">
        <v>21</v>
      </c>
      <c r="D1965" s="179">
        <v>112.5</v>
      </c>
      <c r="E1965" s="179">
        <v>5.2</v>
      </c>
      <c r="F1965" s="179">
        <v>5.83</v>
      </c>
      <c r="G1965" s="179">
        <v>6.37</v>
      </c>
      <c r="H1965" s="179">
        <v>6.15</v>
      </c>
      <c r="I1965" s="179">
        <v>5.75</v>
      </c>
      <c r="J1965" s="179">
        <v>5.41</v>
      </c>
      <c r="K1965" s="179">
        <v>4.88</v>
      </c>
      <c r="L1965" s="179">
        <v>4.66</v>
      </c>
      <c r="M1965" s="179">
        <v>4.5999999999999996</v>
      </c>
      <c r="N1965" s="179">
        <v>5.18</v>
      </c>
      <c r="O1965" s="179">
        <v>5.52</v>
      </c>
      <c r="P1965" s="179">
        <v>4.87</v>
      </c>
      <c r="Q1965" s="179">
        <f t="shared" si="59"/>
        <v>5.368333333333335</v>
      </c>
      <c r="R1965" s="179" t="s">
        <v>993</v>
      </c>
    </row>
    <row r="1966" spans="1:18" x14ac:dyDescent="0.15">
      <c r="A1966" s="179" t="str">
        <f t="shared" si="58"/>
        <v>Tonala_Optimal Year Round_135</v>
      </c>
      <c r="B1966" s="179" t="s">
        <v>1161</v>
      </c>
      <c r="C1966" s="179">
        <v>21</v>
      </c>
      <c r="D1966" s="179">
        <v>135</v>
      </c>
      <c r="E1966" s="179">
        <v>5.64</v>
      </c>
      <c r="F1966" s="179">
        <v>6.33</v>
      </c>
      <c r="G1966" s="179">
        <v>6.92</v>
      </c>
      <c r="H1966" s="179">
        <v>6.68</v>
      </c>
      <c r="I1966" s="179">
        <v>6.24</v>
      </c>
      <c r="J1966" s="179">
        <v>5.87</v>
      </c>
      <c r="K1966" s="179">
        <v>5.3</v>
      </c>
      <c r="L1966" s="179">
        <v>5.0599999999999996</v>
      </c>
      <c r="M1966" s="179">
        <v>5</v>
      </c>
      <c r="N1966" s="179">
        <v>5.62</v>
      </c>
      <c r="O1966" s="179">
        <v>5.99</v>
      </c>
      <c r="P1966" s="179">
        <v>5.29</v>
      </c>
      <c r="Q1966" s="179">
        <f t="shared" si="59"/>
        <v>5.8283333333333331</v>
      </c>
      <c r="R1966" s="179" t="s">
        <v>993</v>
      </c>
    </row>
    <row r="1967" spans="1:18" x14ac:dyDescent="0.15">
      <c r="A1967" s="179" t="str">
        <f t="shared" si="58"/>
        <v>Tonala_Optimal Year Round_157.5</v>
      </c>
      <c r="B1967" s="179" t="s">
        <v>1161</v>
      </c>
      <c r="C1967" s="179">
        <v>21</v>
      </c>
      <c r="D1967" s="179">
        <v>157.5</v>
      </c>
      <c r="E1967" s="179">
        <v>5.79</v>
      </c>
      <c r="F1967" s="179">
        <v>6.49</v>
      </c>
      <c r="G1967" s="179">
        <v>7.1</v>
      </c>
      <c r="H1967" s="179">
        <v>6.85</v>
      </c>
      <c r="I1967" s="179">
        <v>6.41</v>
      </c>
      <c r="J1967" s="179">
        <v>6.03</v>
      </c>
      <c r="K1967" s="179">
        <v>5.44</v>
      </c>
      <c r="L1967" s="179">
        <v>5.2</v>
      </c>
      <c r="M1967" s="179">
        <v>5.13</v>
      </c>
      <c r="N1967" s="179">
        <v>5.77</v>
      </c>
      <c r="O1967" s="179">
        <v>6.15</v>
      </c>
      <c r="P1967" s="179">
        <v>5.43</v>
      </c>
      <c r="Q1967" s="179">
        <f t="shared" si="59"/>
        <v>5.9825000000000017</v>
      </c>
      <c r="R1967" s="179" t="s">
        <v>993</v>
      </c>
    </row>
    <row r="1968" spans="1:18" x14ac:dyDescent="0.15">
      <c r="A1968" s="179" t="str">
        <f t="shared" si="58"/>
        <v>Tonala_Optimal Year Round_180</v>
      </c>
      <c r="B1968" s="179" t="s">
        <v>1161</v>
      </c>
      <c r="C1968" s="179">
        <v>21</v>
      </c>
      <c r="D1968" s="179">
        <v>180</v>
      </c>
      <c r="E1968" s="179">
        <v>5.94</v>
      </c>
      <c r="F1968" s="179">
        <v>6.66</v>
      </c>
      <c r="G1968" s="179">
        <v>7.28</v>
      </c>
      <c r="H1968" s="179">
        <v>7.03</v>
      </c>
      <c r="I1968" s="179">
        <v>6.57</v>
      </c>
      <c r="J1968" s="179">
        <v>6.18</v>
      </c>
      <c r="K1968" s="179">
        <v>5.58</v>
      </c>
      <c r="L1968" s="179">
        <v>5.33</v>
      </c>
      <c r="M1968" s="179">
        <v>5.26</v>
      </c>
      <c r="N1968" s="179">
        <v>5.92</v>
      </c>
      <c r="O1968" s="179">
        <v>6.31</v>
      </c>
      <c r="P1968" s="179">
        <v>5.57</v>
      </c>
      <c r="Q1968" s="179">
        <f t="shared" si="59"/>
        <v>6.1358333333333333</v>
      </c>
      <c r="R1968" s="179" t="s">
        <v>993</v>
      </c>
    </row>
    <row r="1969" spans="1:18" x14ac:dyDescent="0.15">
      <c r="A1969" s="179" t="str">
        <f t="shared" si="58"/>
        <v>Tonala_Optimal Year Round_202.5</v>
      </c>
      <c r="B1969" s="179" t="s">
        <v>1161</v>
      </c>
      <c r="C1969" s="179">
        <v>21</v>
      </c>
      <c r="D1969" s="179">
        <v>202.5</v>
      </c>
      <c r="E1969" s="179">
        <v>5.79</v>
      </c>
      <c r="F1969" s="179">
        <v>6.49</v>
      </c>
      <c r="G1969" s="179">
        <v>7.1</v>
      </c>
      <c r="H1969" s="179">
        <v>6.85</v>
      </c>
      <c r="I1969" s="179">
        <v>6.41</v>
      </c>
      <c r="J1969" s="179">
        <v>6.03</v>
      </c>
      <c r="K1969" s="179">
        <v>5.44</v>
      </c>
      <c r="L1969" s="179">
        <v>5.2</v>
      </c>
      <c r="M1969" s="179">
        <v>5.13</v>
      </c>
      <c r="N1969" s="179">
        <v>5.77</v>
      </c>
      <c r="O1969" s="179">
        <v>6.15</v>
      </c>
      <c r="P1969" s="179">
        <v>5.43</v>
      </c>
      <c r="Q1969" s="179">
        <f t="shared" si="59"/>
        <v>5.9825000000000017</v>
      </c>
      <c r="R1969" s="179" t="s">
        <v>993</v>
      </c>
    </row>
    <row r="1970" spans="1:18" x14ac:dyDescent="0.15">
      <c r="A1970" s="179" t="str">
        <f t="shared" si="58"/>
        <v>Tonala_Optimal Year Round_225</v>
      </c>
      <c r="B1970" s="179" t="s">
        <v>1161</v>
      </c>
      <c r="C1970" s="179">
        <v>21</v>
      </c>
      <c r="D1970" s="179">
        <v>225</v>
      </c>
      <c r="E1970" s="179">
        <v>5.64</v>
      </c>
      <c r="F1970" s="179">
        <v>6.33</v>
      </c>
      <c r="G1970" s="179">
        <v>6.92</v>
      </c>
      <c r="H1970" s="179">
        <v>6.68</v>
      </c>
      <c r="I1970" s="179">
        <v>6.24</v>
      </c>
      <c r="J1970" s="179">
        <v>5.87</v>
      </c>
      <c r="K1970" s="179">
        <v>5.3</v>
      </c>
      <c r="L1970" s="179">
        <v>5.0599999999999996</v>
      </c>
      <c r="M1970" s="179">
        <v>5</v>
      </c>
      <c r="N1970" s="179">
        <v>5.62</v>
      </c>
      <c r="O1970" s="179">
        <v>5.99</v>
      </c>
      <c r="P1970" s="179">
        <v>5.29</v>
      </c>
      <c r="Q1970" s="179">
        <f t="shared" si="59"/>
        <v>5.8283333333333331</v>
      </c>
      <c r="R1970" s="179" t="s">
        <v>993</v>
      </c>
    </row>
    <row r="1971" spans="1:18" x14ac:dyDescent="0.15">
      <c r="A1971" s="179" t="str">
        <f t="shared" si="58"/>
        <v>Tonala_Optimal Year Round_247.5</v>
      </c>
      <c r="B1971" s="179" t="s">
        <v>1161</v>
      </c>
      <c r="C1971" s="179">
        <v>21</v>
      </c>
      <c r="D1971" s="179">
        <v>247.5</v>
      </c>
      <c r="E1971" s="179">
        <v>5.2</v>
      </c>
      <c r="F1971" s="179">
        <v>5.83</v>
      </c>
      <c r="G1971" s="179">
        <v>6.37</v>
      </c>
      <c r="H1971" s="179">
        <v>6.15</v>
      </c>
      <c r="I1971" s="179">
        <v>5.75</v>
      </c>
      <c r="J1971" s="179">
        <v>5.41</v>
      </c>
      <c r="K1971" s="179">
        <v>4.88</v>
      </c>
      <c r="L1971" s="179">
        <v>4.66</v>
      </c>
      <c r="M1971" s="179">
        <v>4.5999999999999996</v>
      </c>
      <c r="N1971" s="179">
        <v>5.18</v>
      </c>
      <c r="O1971" s="179">
        <v>5.52</v>
      </c>
      <c r="P1971" s="179">
        <v>4.87</v>
      </c>
      <c r="Q1971" s="179">
        <f t="shared" si="59"/>
        <v>5.368333333333335</v>
      </c>
      <c r="R1971" s="179" t="s">
        <v>993</v>
      </c>
    </row>
    <row r="1972" spans="1:18" x14ac:dyDescent="0.15">
      <c r="A1972" s="179" t="str">
        <f t="shared" si="58"/>
        <v>Tonala_Optimal Year Round_270</v>
      </c>
      <c r="B1972" s="179" t="s">
        <v>1161</v>
      </c>
      <c r="C1972" s="179">
        <v>21</v>
      </c>
      <c r="D1972" s="179">
        <v>270</v>
      </c>
      <c r="E1972" s="179">
        <v>4.75</v>
      </c>
      <c r="F1972" s="179">
        <v>5.33</v>
      </c>
      <c r="G1972" s="179">
        <v>5.82</v>
      </c>
      <c r="H1972" s="179">
        <v>5.62</v>
      </c>
      <c r="I1972" s="179">
        <v>5.26</v>
      </c>
      <c r="J1972" s="179">
        <v>4.9400000000000004</v>
      </c>
      <c r="K1972" s="179">
        <v>4.46</v>
      </c>
      <c r="L1972" s="179">
        <v>4.26</v>
      </c>
      <c r="M1972" s="179">
        <v>4.21</v>
      </c>
      <c r="N1972" s="179">
        <v>4.74</v>
      </c>
      <c r="O1972" s="179">
        <v>5.05</v>
      </c>
      <c r="P1972" s="179">
        <v>4.46</v>
      </c>
      <c r="Q1972" s="179">
        <f t="shared" si="59"/>
        <v>4.9083333333333332</v>
      </c>
      <c r="R1972" s="179" t="s">
        <v>993</v>
      </c>
    </row>
    <row r="1973" spans="1:18" x14ac:dyDescent="0.15">
      <c r="A1973" s="179" t="str">
        <f t="shared" si="58"/>
        <v>Torreon_Flat Surface_90</v>
      </c>
      <c r="B1973" s="501" t="s">
        <v>1162</v>
      </c>
      <c r="C1973" s="429">
        <v>0</v>
      </c>
      <c r="D1973" s="429">
        <v>90</v>
      </c>
      <c r="E1973" s="431">
        <v>3.98</v>
      </c>
      <c r="F1973" s="429">
        <v>4.9400000000000004</v>
      </c>
      <c r="G1973" s="429">
        <v>6.11</v>
      </c>
      <c r="H1973" s="429">
        <v>6.48</v>
      </c>
      <c r="I1973" s="429">
        <v>6.85</v>
      </c>
      <c r="J1973" s="429">
        <v>6.79</v>
      </c>
      <c r="K1973" s="431">
        <v>6.39</v>
      </c>
      <c r="L1973" s="431">
        <v>5.98</v>
      </c>
      <c r="M1973" s="431">
        <v>5.29</v>
      </c>
      <c r="N1973" s="431">
        <v>5.1100000000000003</v>
      </c>
      <c r="O1973" s="431">
        <v>4.3600000000000003</v>
      </c>
      <c r="P1973" s="431">
        <v>3.75</v>
      </c>
      <c r="Q1973" s="179">
        <f t="shared" si="59"/>
        <v>5.5025000000000004</v>
      </c>
      <c r="R1973" s="179" t="s">
        <v>994</v>
      </c>
    </row>
    <row r="1974" spans="1:18" x14ac:dyDescent="0.15">
      <c r="A1974" s="179" t="str">
        <f t="shared" si="58"/>
        <v>Torreon_Flat Surface_112.5</v>
      </c>
      <c r="B1974" s="501" t="s">
        <v>1162</v>
      </c>
      <c r="C1974" s="429">
        <v>0</v>
      </c>
      <c r="D1974" s="429">
        <v>112.5</v>
      </c>
      <c r="E1974" s="431">
        <v>3.98</v>
      </c>
      <c r="F1974" s="429">
        <v>4.9400000000000004</v>
      </c>
      <c r="G1974" s="429">
        <v>6.11</v>
      </c>
      <c r="H1974" s="429">
        <v>6.48</v>
      </c>
      <c r="I1974" s="429">
        <v>6.85</v>
      </c>
      <c r="J1974" s="429">
        <v>6.79</v>
      </c>
      <c r="K1974" s="431">
        <v>6.39</v>
      </c>
      <c r="L1974" s="431">
        <v>5.98</v>
      </c>
      <c r="M1974" s="431">
        <v>5.29</v>
      </c>
      <c r="N1974" s="431">
        <v>5.1100000000000003</v>
      </c>
      <c r="O1974" s="431">
        <v>4.3600000000000003</v>
      </c>
      <c r="P1974" s="431">
        <v>3.75</v>
      </c>
      <c r="Q1974" s="179">
        <f t="shared" si="59"/>
        <v>5.5025000000000004</v>
      </c>
      <c r="R1974" s="179" t="s">
        <v>994</v>
      </c>
    </row>
    <row r="1975" spans="1:18" x14ac:dyDescent="0.15">
      <c r="A1975" s="179" t="str">
        <f t="shared" si="58"/>
        <v>Torreon_Flat Surface_135</v>
      </c>
      <c r="B1975" s="501" t="s">
        <v>1162</v>
      </c>
      <c r="C1975" s="429">
        <v>0</v>
      </c>
      <c r="D1975" s="429">
        <v>135</v>
      </c>
      <c r="E1975" s="431">
        <v>3.98</v>
      </c>
      <c r="F1975" s="429">
        <v>4.9400000000000004</v>
      </c>
      <c r="G1975" s="429">
        <v>6.11</v>
      </c>
      <c r="H1975" s="429">
        <v>6.48</v>
      </c>
      <c r="I1975" s="429">
        <v>6.85</v>
      </c>
      <c r="J1975" s="429">
        <v>6.79</v>
      </c>
      <c r="K1975" s="431">
        <v>6.39</v>
      </c>
      <c r="L1975" s="431">
        <v>5.98</v>
      </c>
      <c r="M1975" s="431">
        <v>5.29</v>
      </c>
      <c r="N1975" s="431">
        <v>5.1100000000000003</v>
      </c>
      <c r="O1975" s="431">
        <v>4.3600000000000003</v>
      </c>
      <c r="P1975" s="431">
        <v>3.75</v>
      </c>
      <c r="Q1975" s="179">
        <f t="shared" si="59"/>
        <v>5.5025000000000004</v>
      </c>
      <c r="R1975" s="179" t="s">
        <v>994</v>
      </c>
    </row>
    <row r="1976" spans="1:18" x14ac:dyDescent="0.15">
      <c r="A1976" s="179" t="str">
        <f t="shared" si="58"/>
        <v>Torreon_Flat Surface_157.5</v>
      </c>
      <c r="B1976" s="501" t="s">
        <v>1162</v>
      </c>
      <c r="C1976" s="429">
        <v>0</v>
      </c>
      <c r="D1976" s="429">
        <v>157.5</v>
      </c>
      <c r="E1976" s="431">
        <v>3.98</v>
      </c>
      <c r="F1976" s="429">
        <v>4.9400000000000004</v>
      </c>
      <c r="G1976" s="429">
        <v>6.11</v>
      </c>
      <c r="H1976" s="429">
        <v>6.48</v>
      </c>
      <c r="I1976" s="429">
        <v>6.85</v>
      </c>
      <c r="J1976" s="429">
        <v>6.79</v>
      </c>
      <c r="K1976" s="431">
        <v>6.39</v>
      </c>
      <c r="L1976" s="431">
        <v>5.98</v>
      </c>
      <c r="M1976" s="431">
        <v>5.29</v>
      </c>
      <c r="N1976" s="431">
        <v>5.1100000000000003</v>
      </c>
      <c r="O1976" s="431">
        <v>4.3600000000000003</v>
      </c>
      <c r="P1976" s="431">
        <v>3.75</v>
      </c>
      <c r="Q1976" s="179">
        <f t="shared" si="59"/>
        <v>5.5025000000000004</v>
      </c>
      <c r="R1976" s="179" t="s">
        <v>994</v>
      </c>
    </row>
    <row r="1977" spans="1:18" x14ac:dyDescent="0.15">
      <c r="A1977" s="179" t="str">
        <f t="shared" si="58"/>
        <v>Torreon_Flat Surface_180</v>
      </c>
      <c r="B1977" s="501" t="s">
        <v>1162</v>
      </c>
      <c r="C1977" s="429">
        <v>0</v>
      </c>
      <c r="D1977" s="429">
        <v>180</v>
      </c>
      <c r="E1977" s="431">
        <v>3.98</v>
      </c>
      <c r="F1977" s="429">
        <v>4.9400000000000004</v>
      </c>
      <c r="G1977" s="429">
        <v>6.11</v>
      </c>
      <c r="H1977" s="429">
        <v>6.48</v>
      </c>
      <c r="I1977" s="429">
        <v>6.85</v>
      </c>
      <c r="J1977" s="429">
        <v>6.79</v>
      </c>
      <c r="K1977" s="431">
        <v>6.39</v>
      </c>
      <c r="L1977" s="431">
        <v>5.98</v>
      </c>
      <c r="M1977" s="431">
        <v>5.29</v>
      </c>
      <c r="N1977" s="431">
        <v>5.1100000000000003</v>
      </c>
      <c r="O1977" s="431">
        <v>4.3600000000000003</v>
      </c>
      <c r="P1977" s="431">
        <v>3.75</v>
      </c>
      <c r="Q1977" s="179">
        <f t="shared" si="59"/>
        <v>5.5025000000000004</v>
      </c>
      <c r="R1977" s="179" t="s">
        <v>994</v>
      </c>
    </row>
    <row r="1978" spans="1:18" x14ac:dyDescent="0.15">
      <c r="A1978" s="179" t="str">
        <f t="shared" si="58"/>
        <v>Torreon_Flat Surface_202.5</v>
      </c>
      <c r="B1978" s="501" t="s">
        <v>1162</v>
      </c>
      <c r="C1978" s="429">
        <v>0</v>
      </c>
      <c r="D1978" s="429">
        <v>202.5</v>
      </c>
      <c r="E1978" s="431">
        <v>3.98</v>
      </c>
      <c r="F1978" s="429">
        <v>4.9400000000000004</v>
      </c>
      <c r="G1978" s="429">
        <v>6.11</v>
      </c>
      <c r="H1978" s="429">
        <v>6.48</v>
      </c>
      <c r="I1978" s="429">
        <v>6.85</v>
      </c>
      <c r="J1978" s="429">
        <v>6.79</v>
      </c>
      <c r="K1978" s="431">
        <v>6.39</v>
      </c>
      <c r="L1978" s="431">
        <v>5.98</v>
      </c>
      <c r="M1978" s="431">
        <v>5.29</v>
      </c>
      <c r="N1978" s="431">
        <v>5.1100000000000003</v>
      </c>
      <c r="O1978" s="431">
        <v>4.3600000000000003</v>
      </c>
      <c r="P1978" s="431">
        <v>3.75</v>
      </c>
      <c r="Q1978" s="179">
        <f t="shared" si="59"/>
        <v>5.5025000000000004</v>
      </c>
      <c r="R1978" s="179" t="s">
        <v>994</v>
      </c>
    </row>
    <row r="1979" spans="1:18" x14ac:dyDescent="0.15">
      <c r="A1979" s="179" t="str">
        <f t="shared" si="58"/>
        <v>Torreon_Flat Surface_225</v>
      </c>
      <c r="B1979" s="501" t="s">
        <v>1162</v>
      </c>
      <c r="C1979" s="429">
        <v>0</v>
      </c>
      <c r="D1979" s="429">
        <v>225</v>
      </c>
      <c r="E1979" s="431">
        <v>3.98</v>
      </c>
      <c r="F1979" s="429">
        <v>4.9400000000000004</v>
      </c>
      <c r="G1979" s="429">
        <v>6.11</v>
      </c>
      <c r="H1979" s="429">
        <v>6.48</v>
      </c>
      <c r="I1979" s="429">
        <v>6.85</v>
      </c>
      <c r="J1979" s="429">
        <v>6.79</v>
      </c>
      <c r="K1979" s="431">
        <v>6.39</v>
      </c>
      <c r="L1979" s="431">
        <v>5.98</v>
      </c>
      <c r="M1979" s="431">
        <v>5.29</v>
      </c>
      <c r="N1979" s="431">
        <v>5.1100000000000003</v>
      </c>
      <c r="O1979" s="431">
        <v>4.3600000000000003</v>
      </c>
      <c r="P1979" s="431">
        <v>3.75</v>
      </c>
      <c r="Q1979" s="179">
        <f t="shared" si="59"/>
        <v>5.5025000000000004</v>
      </c>
      <c r="R1979" s="179" t="s">
        <v>994</v>
      </c>
    </row>
    <row r="1980" spans="1:18" x14ac:dyDescent="0.15">
      <c r="A1980" s="179" t="str">
        <f t="shared" si="58"/>
        <v>Torreon_Flat Surface_247.5</v>
      </c>
      <c r="B1980" s="501" t="s">
        <v>1162</v>
      </c>
      <c r="C1980" s="429">
        <v>0</v>
      </c>
      <c r="D1980" s="429">
        <v>247.5</v>
      </c>
      <c r="E1980" s="431">
        <v>3.98</v>
      </c>
      <c r="F1980" s="429">
        <v>4.9400000000000004</v>
      </c>
      <c r="G1980" s="429">
        <v>6.11</v>
      </c>
      <c r="H1980" s="429">
        <v>6.48</v>
      </c>
      <c r="I1980" s="429">
        <v>6.85</v>
      </c>
      <c r="J1980" s="429">
        <v>6.79</v>
      </c>
      <c r="K1980" s="431">
        <v>6.39</v>
      </c>
      <c r="L1980" s="431">
        <v>5.98</v>
      </c>
      <c r="M1980" s="431">
        <v>5.29</v>
      </c>
      <c r="N1980" s="431">
        <v>5.1100000000000003</v>
      </c>
      <c r="O1980" s="431">
        <v>4.3600000000000003</v>
      </c>
      <c r="P1980" s="431">
        <v>3.75</v>
      </c>
      <c r="Q1980" s="179">
        <f t="shared" si="59"/>
        <v>5.5025000000000004</v>
      </c>
      <c r="R1980" s="179" t="s">
        <v>994</v>
      </c>
    </row>
    <row r="1981" spans="1:18" x14ac:dyDescent="0.15">
      <c r="A1981" s="179" t="str">
        <f t="shared" si="58"/>
        <v>Torreon_Flat Surface_270</v>
      </c>
      <c r="B1981" s="501" t="s">
        <v>1162</v>
      </c>
      <c r="C1981" s="429">
        <v>0</v>
      </c>
      <c r="D1981" s="429">
        <v>270</v>
      </c>
      <c r="E1981" s="431">
        <v>3.98</v>
      </c>
      <c r="F1981" s="429">
        <v>4.9400000000000004</v>
      </c>
      <c r="G1981" s="429">
        <v>6.11</v>
      </c>
      <c r="H1981" s="429">
        <v>6.48</v>
      </c>
      <c r="I1981" s="429">
        <v>6.85</v>
      </c>
      <c r="J1981" s="429">
        <v>6.79</v>
      </c>
      <c r="K1981" s="431">
        <v>6.39</v>
      </c>
      <c r="L1981" s="431">
        <v>5.98</v>
      </c>
      <c r="M1981" s="431">
        <v>5.29</v>
      </c>
      <c r="N1981" s="431">
        <v>5.1100000000000003</v>
      </c>
      <c r="O1981" s="431">
        <v>4.3600000000000003</v>
      </c>
      <c r="P1981" s="431">
        <v>3.75</v>
      </c>
      <c r="Q1981" s="179">
        <f t="shared" si="59"/>
        <v>5.5025000000000004</v>
      </c>
      <c r="R1981" s="179" t="s">
        <v>994</v>
      </c>
    </row>
    <row r="1982" spans="1:18" x14ac:dyDescent="0.15">
      <c r="A1982" s="179" t="str">
        <f t="shared" si="58"/>
        <v>Torreon_Optimal Summer_90</v>
      </c>
      <c r="B1982" s="501" t="s">
        <v>1162</v>
      </c>
      <c r="C1982" s="429">
        <v>11</v>
      </c>
      <c r="D1982" s="429">
        <v>90</v>
      </c>
      <c r="E1982" s="431">
        <v>3.65</v>
      </c>
      <c r="F1982" s="431">
        <v>4.38</v>
      </c>
      <c r="G1982" s="431">
        <v>5.19</v>
      </c>
      <c r="H1982" s="431">
        <v>5.27</v>
      </c>
      <c r="I1982" s="431">
        <v>5.39</v>
      </c>
      <c r="J1982" s="431">
        <v>5.29</v>
      </c>
      <c r="K1982" s="431">
        <v>5.01</v>
      </c>
      <c r="L1982" s="431">
        <v>4.79</v>
      </c>
      <c r="M1982" s="431">
        <v>4.38</v>
      </c>
      <c r="N1982" s="431">
        <v>4.45</v>
      </c>
      <c r="O1982" s="431">
        <v>3.98</v>
      </c>
      <c r="P1982" s="431">
        <v>3.48</v>
      </c>
      <c r="Q1982" s="179">
        <f t="shared" si="59"/>
        <v>4.6049999999999995</v>
      </c>
      <c r="R1982" s="179" t="s">
        <v>958</v>
      </c>
    </row>
    <row r="1983" spans="1:18" x14ac:dyDescent="0.15">
      <c r="A1983" s="179" t="str">
        <f t="shared" si="58"/>
        <v>Torreon_Optimal Summer_112.5</v>
      </c>
      <c r="B1983" s="501" t="s">
        <v>1162</v>
      </c>
      <c r="C1983" s="429">
        <v>11</v>
      </c>
      <c r="D1983" s="429">
        <v>112.5</v>
      </c>
      <c r="E1983" s="431">
        <v>3.99</v>
      </c>
      <c r="F1983" s="431">
        <v>4.8</v>
      </c>
      <c r="G1983" s="431">
        <v>5.68</v>
      </c>
      <c r="H1983" s="431">
        <v>5.77</v>
      </c>
      <c r="I1983" s="431">
        <v>5.9</v>
      </c>
      <c r="J1983" s="431">
        <v>5.78</v>
      </c>
      <c r="K1983" s="431">
        <v>5.48</v>
      </c>
      <c r="L1983" s="431">
        <v>5.24</v>
      </c>
      <c r="M1983" s="431">
        <v>4.8</v>
      </c>
      <c r="N1983" s="431">
        <v>4.8600000000000003</v>
      </c>
      <c r="O1983" s="431">
        <v>4.3499999999999996</v>
      </c>
      <c r="P1983" s="431">
        <v>3.81</v>
      </c>
      <c r="Q1983" s="179">
        <f t="shared" si="59"/>
        <v>5.038333333333334</v>
      </c>
      <c r="R1983" s="179" t="s">
        <v>958</v>
      </c>
    </row>
    <row r="1984" spans="1:18" x14ac:dyDescent="0.15">
      <c r="A1984" s="179" t="str">
        <f t="shared" si="58"/>
        <v>Torreon_Optimal Summer_135</v>
      </c>
      <c r="B1984" s="501" t="s">
        <v>1162</v>
      </c>
      <c r="C1984" s="429">
        <v>11</v>
      </c>
      <c r="D1984" s="429">
        <v>135</v>
      </c>
      <c r="E1984" s="431">
        <v>4.33</v>
      </c>
      <c r="F1984" s="431">
        <v>5.21</v>
      </c>
      <c r="G1984" s="431">
        <v>6.17</v>
      </c>
      <c r="H1984" s="431">
        <v>6.26</v>
      </c>
      <c r="I1984" s="431">
        <v>6.4</v>
      </c>
      <c r="J1984" s="431">
        <v>6.28</v>
      </c>
      <c r="K1984" s="431">
        <v>5.95</v>
      </c>
      <c r="L1984" s="431">
        <v>5.69</v>
      </c>
      <c r="M1984" s="431">
        <v>5.21</v>
      </c>
      <c r="N1984" s="431">
        <v>5.28</v>
      </c>
      <c r="O1984" s="431">
        <v>4.72</v>
      </c>
      <c r="P1984" s="431">
        <v>4.13</v>
      </c>
      <c r="Q1984" s="179">
        <f t="shared" si="59"/>
        <v>5.4691666666666663</v>
      </c>
      <c r="R1984" s="179" t="s">
        <v>958</v>
      </c>
    </row>
    <row r="1985" spans="1:18" x14ac:dyDescent="0.15">
      <c r="A1985" s="179" t="str">
        <f t="shared" si="58"/>
        <v>Torreon_Optimal Summer_157.5</v>
      </c>
      <c r="B1985" s="501" t="s">
        <v>1162</v>
      </c>
      <c r="C1985" s="429">
        <v>11</v>
      </c>
      <c r="D1985" s="429">
        <v>157.5</v>
      </c>
      <c r="E1985" s="431">
        <v>4.45</v>
      </c>
      <c r="F1985" s="431">
        <v>5.34</v>
      </c>
      <c r="G1985" s="431">
        <v>6.33</v>
      </c>
      <c r="H1985" s="431">
        <v>6.43</v>
      </c>
      <c r="I1985" s="431">
        <v>6.57</v>
      </c>
      <c r="J1985" s="431">
        <v>6.44</v>
      </c>
      <c r="K1985" s="431">
        <v>6.1</v>
      </c>
      <c r="L1985" s="431">
        <v>5.84</v>
      </c>
      <c r="M1985" s="431">
        <v>5.34</v>
      </c>
      <c r="N1985" s="431">
        <v>5.42</v>
      </c>
      <c r="O1985" s="431">
        <v>4.8499999999999996</v>
      </c>
      <c r="P1985" s="431">
        <v>4.24</v>
      </c>
      <c r="Q1985" s="179">
        <f t="shared" si="59"/>
        <v>5.6125000000000007</v>
      </c>
      <c r="R1985" s="179" t="s">
        <v>958</v>
      </c>
    </row>
    <row r="1986" spans="1:18" x14ac:dyDescent="0.15">
      <c r="A1986" s="179" t="str">
        <f t="shared" ref="A1986:A2049" si="60">B1986&amp;"_"&amp;R1986&amp;"_"&amp;D1986</f>
        <v>Torreon_Optimal Summer_180</v>
      </c>
      <c r="B1986" s="501" t="s">
        <v>1162</v>
      </c>
      <c r="C1986" s="429">
        <v>11</v>
      </c>
      <c r="D1986" s="429">
        <v>180</v>
      </c>
      <c r="E1986" s="431">
        <v>4.5599999999999996</v>
      </c>
      <c r="F1986" s="431">
        <v>5.48</v>
      </c>
      <c r="G1986" s="431">
        <v>6.49</v>
      </c>
      <c r="H1986" s="431">
        <v>6.59</v>
      </c>
      <c r="I1986" s="431">
        <v>6.74</v>
      </c>
      <c r="J1986" s="431">
        <v>6.61</v>
      </c>
      <c r="K1986" s="431">
        <v>6.26</v>
      </c>
      <c r="L1986" s="431">
        <v>5.99</v>
      </c>
      <c r="M1986" s="431">
        <v>5.48</v>
      </c>
      <c r="N1986" s="431">
        <v>5.56</v>
      </c>
      <c r="O1986" s="431">
        <v>4.97</v>
      </c>
      <c r="P1986" s="431">
        <v>4.3499999999999996</v>
      </c>
      <c r="Q1986" s="179">
        <f t="shared" ref="Q1986:Q2049" si="61">AVERAGE(E1986:P1986)</f>
        <v>5.7566666666666668</v>
      </c>
      <c r="R1986" s="179" t="s">
        <v>958</v>
      </c>
    </row>
    <row r="1987" spans="1:18" x14ac:dyDescent="0.15">
      <c r="A1987" s="179" t="str">
        <f t="shared" si="60"/>
        <v>Torreon_Optimal Summer_202.5</v>
      </c>
      <c r="B1987" s="501" t="s">
        <v>1162</v>
      </c>
      <c r="C1987" s="429">
        <v>11</v>
      </c>
      <c r="D1987" s="429">
        <v>202.5</v>
      </c>
      <c r="E1987" s="431">
        <v>4.45</v>
      </c>
      <c r="F1987" s="431">
        <v>5.34</v>
      </c>
      <c r="G1987" s="431">
        <v>6.33</v>
      </c>
      <c r="H1987" s="431">
        <v>6.43</v>
      </c>
      <c r="I1987" s="431">
        <v>6.57</v>
      </c>
      <c r="J1987" s="431">
        <v>6.44</v>
      </c>
      <c r="K1987" s="431">
        <v>6.1</v>
      </c>
      <c r="L1987" s="431">
        <v>5.84</v>
      </c>
      <c r="M1987" s="431">
        <v>5.34</v>
      </c>
      <c r="N1987" s="431">
        <v>5.42</v>
      </c>
      <c r="O1987" s="431">
        <v>4.8499999999999996</v>
      </c>
      <c r="P1987" s="431">
        <v>4.24</v>
      </c>
      <c r="Q1987" s="179">
        <f t="shared" si="61"/>
        <v>5.6125000000000007</v>
      </c>
      <c r="R1987" s="179" t="s">
        <v>958</v>
      </c>
    </row>
    <row r="1988" spans="1:18" x14ac:dyDescent="0.15">
      <c r="A1988" s="179" t="str">
        <f t="shared" si="60"/>
        <v>Torreon_Optimal Summer_225</v>
      </c>
      <c r="B1988" s="501" t="s">
        <v>1162</v>
      </c>
      <c r="C1988" s="429">
        <v>11</v>
      </c>
      <c r="D1988" s="429">
        <v>225</v>
      </c>
      <c r="E1988" s="429">
        <v>4.33</v>
      </c>
      <c r="F1988" s="429">
        <v>5.21</v>
      </c>
      <c r="G1988" s="429">
        <v>6.17</v>
      </c>
      <c r="H1988" s="429">
        <v>6.26</v>
      </c>
      <c r="I1988" s="429">
        <v>6.4</v>
      </c>
      <c r="J1988" s="429">
        <v>6.28</v>
      </c>
      <c r="K1988" s="429">
        <v>5.95</v>
      </c>
      <c r="L1988" s="429">
        <v>5.69</v>
      </c>
      <c r="M1988" s="429">
        <v>5.21</v>
      </c>
      <c r="N1988" s="429">
        <v>5.28</v>
      </c>
      <c r="O1988" s="429">
        <v>4.72</v>
      </c>
      <c r="P1988" s="429">
        <v>4.13</v>
      </c>
      <c r="Q1988" s="179">
        <f t="shared" si="61"/>
        <v>5.4691666666666663</v>
      </c>
      <c r="R1988" s="179" t="s">
        <v>958</v>
      </c>
    </row>
    <row r="1989" spans="1:18" x14ac:dyDescent="0.15">
      <c r="A1989" s="179" t="str">
        <f t="shared" si="60"/>
        <v>Torreon_Optimal Summer_247.5</v>
      </c>
      <c r="B1989" s="501" t="s">
        <v>1162</v>
      </c>
      <c r="C1989" s="429">
        <v>11</v>
      </c>
      <c r="D1989" s="429">
        <v>247.5</v>
      </c>
      <c r="E1989" s="429">
        <v>3.99</v>
      </c>
      <c r="F1989" s="429">
        <v>4.8</v>
      </c>
      <c r="G1989" s="429">
        <v>5.68</v>
      </c>
      <c r="H1989" s="429">
        <v>5.77</v>
      </c>
      <c r="I1989" s="429">
        <v>5.9</v>
      </c>
      <c r="J1989" s="429">
        <v>5.78</v>
      </c>
      <c r="K1989" s="429">
        <v>5.48</v>
      </c>
      <c r="L1989" s="429">
        <v>5.24</v>
      </c>
      <c r="M1989" s="429">
        <v>4.8</v>
      </c>
      <c r="N1989" s="429">
        <v>4.8600000000000003</v>
      </c>
      <c r="O1989" s="429">
        <v>4.3499999999999996</v>
      </c>
      <c r="P1989" s="429">
        <v>3.81</v>
      </c>
      <c r="Q1989" s="179">
        <f t="shared" si="61"/>
        <v>5.038333333333334</v>
      </c>
      <c r="R1989" s="179" t="s">
        <v>958</v>
      </c>
    </row>
    <row r="1990" spans="1:18" x14ac:dyDescent="0.15">
      <c r="A1990" s="179" t="str">
        <f t="shared" si="60"/>
        <v>Torreon_Optimal Summer_270</v>
      </c>
      <c r="B1990" s="501" t="s">
        <v>1162</v>
      </c>
      <c r="C1990" s="429">
        <v>11</v>
      </c>
      <c r="D1990" s="429">
        <v>270</v>
      </c>
      <c r="E1990" s="429">
        <v>3.65</v>
      </c>
      <c r="F1990" s="429">
        <v>4.38</v>
      </c>
      <c r="G1990" s="429">
        <v>5.19</v>
      </c>
      <c r="H1990" s="429">
        <v>5.27</v>
      </c>
      <c r="I1990" s="429">
        <v>5.39</v>
      </c>
      <c r="J1990" s="429">
        <v>5.29</v>
      </c>
      <c r="K1990" s="429">
        <v>5.01</v>
      </c>
      <c r="L1990" s="429">
        <v>4.79</v>
      </c>
      <c r="M1990" s="429">
        <v>4.38</v>
      </c>
      <c r="N1990" s="429">
        <v>4.45</v>
      </c>
      <c r="O1990" s="429">
        <v>3.98</v>
      </c>
      <c r="P1990" s="429">
        <v>3.48</v>
      </c>
      <c r="Q1990" s="179">
        <f t="shared" si="61"/>
        <v>4.6049999999999995</v>
      </c>
      <c r="R1990" s="179" t="s">
        <v>958</v>
      </c>
    </row>
    <row r="1991" spans="1:18" x14ac:dyDescent="0.15">
      <c r="A1991" s="179" t="str">
        <f t="shared" si="60"/>
        <v>Torreon_Optimal Year Round_90</v>
      </c>
      <c r="B1991" s="501" t="s">
        <v>1162</v>
      </c>
      <c r="C1991" s="429">
        <v>26</v>
      </c>
      <c r="D1991" s="429">
        <v>90</v>
      </c>
      <c r="E1991" s="431">
        <v>4.18</v>
      </c>
      <c r="F1991" s="431">
        <v>4.83</v>
      </c>
      <c r="G1991" s="431">
        <v>5.41</v>
      </c>
      <c r="H1991" s="431">
        <v>5.18</v>
      </c>
      <c r="I1991" s="431">
        <v>5.04</v>
      </c>
      <c r="J1991" s="431">
        <v>4.8499999999999996</v>
      </c>
      <c r="K1991" s="431">
        <v>4.6399999999999997</v>
      </c>
      <c r="L1991" s="431">
        <v>4.62</v>
      </c>
      <c r="M1991" s="431">
        <v>4.43</v>
      </c>
      <c r="N1991" s="431">
        <v>4.8</v>
      </c>
      <c r="O1991" s="431">
        <v>4.53</v>
      </c>
      <c r="P1991" s="431">
        <v>4.05</v>
      </c>
      <c r="Q1991" s="179">
        <f t="shared" si="61"/>
        <v>4.7133333333333329</v>
      </c>
      <c r="R1991" s="179" t="s">
        <v>993</v>
      </c>
    </row>
    <row r="1992" spans="1:18" x14ac:dyDescent="0.15">
      <c r="A1992" s="179" t="str">
        <f t="shared" si="60"/>
        <v>Torreon_Optimal Year Round_112.5</v>
      </c>
      <c r="B1992" s="501" t="s">
        <v>1162</v>
      </c>
      <c r="C1992" s="429">
        <v>26</v>
      </c>
      <c r="D1992" s="429">
        <v>112.5</v>
      </c>
      <c r="E1992" s="431">
        <v>4.57</v>
      </c>
      <c r="F1992" s="431">
        <v>5.28</v>
      </c>
      <c r="G1992" s="431">
        <v>5.92</v>
      </c>
      <c r="H1992" s="431">
        <v>5.66</v>
      </c>
      <c r="I1992" s="431">
        <v>5.51</v>
      </c>
      <c r="J1992" s="431">
        <v>5.3</v>
      </c>
      <c r="K1992" s="431">
        <v>5.08</v>
      </c>
      <c r="L1992" s="431">
        <v>5.05</v>
      </c>
      <c r="M1992" s="431">
        <v>4.8499999999999996</v>
      </c>
      <c r="N1992" s="431">
        <v>5.25</v>
      </c>
      <c r="O1992" s="431">
        <v>4.95</v>
      </c>
      <c r="P1992" s="431">
        <v>4.43</v>
      </c>
      <c r="Q1992" s="179">
        <f t="shared" si="61"/>
        <v>5.1541666666666659</v>
      </c>
      <c r="R1992" s="179" t="s">
        <v>993</v>
      </c>
    </row>
    <row r="1993" spans="1:18" x14ac:dyDescent="0.15">
      <c r="A1993" s="179" t="str">
        <f t="shared" si="60"/>
        <v>Torreon_Optimal Year Round_135</v>
      </c>
      <c r="B1993" s="501" t="s">
        <v>1162</v>
      </c>
      <c r="C1993" s="429">
        <v>26</v>
      </c>
      <c r="D1993" s="429">
        <v>135</v>
      </c>
      <c r="E1993" s="431">
        <v>4.96</v>
      </c>
      <c r="F1993" s="431">
        <v>5.74</v>
      </c>
      <c r="G1993" s="431">
        <v>6.42</v>
      </c>
      <c r="H1993" s="431">
        <v>6.15</v>
      </c>
      <c r="I1993" s="431">
        <v>5.98</v>
      </c>
      <c r="J1993" s="431">
        <v>5.76</v>
      </c>
      <c r="K1993" s="431">
        <v>5.51</v>
      </c>
      <c r="L1993" s="431">
        <v>5.48</v>
      </c>
      <c r="M1993" s="431">
        <v>5.26</v>
      </c>
      <c r="N1993" s="431">
        <v>5.7</v>
      </c>
      <c r="O1993" s="431">
        <v>5.38</v>
      </c>
      <c r="P1993" s="431">
        <v>4.8099999999999996</v>
      </c>
      <c r="Q1993" s="179">
        <f t="shared" si="61"/>
        <v>5.5958333333333341</v>
      </c>
      <c r="R1993" s="179" t="s">
        <v>993</v>
      </c>
    </row>
    <row r="1994" spans="1:18" x14ac:dyDescent="0.15">
      <c r="A1994" s="179" t="str">
        <f t="shared" si="60"/>
        <v>Torreon_Optimal Year Round_157.5</v>
      </c>
      <c r="B1994" s="501" t="s">
        <v>1162</v>
      </c>
      <c r="C1994" s="429">
        <v>26</v>
      </c>
      <c r="D1994" s="429">
        <v>157.5</v>
      </c>
      <c r="E1994" s="431">
        <v>5.09</v>
      </c>
      <c r="F1994" s="431">
        <v>5.89</v>
      </c>
      <c r="G1994" s="431">
        <v>6.59</v>
      </c>
      <c r="H1994" s="431">
        <v>6.31</v>
      </c>
      <c r="I1994" s="431">
        <v>6.14</v>
      </c>
      <c r="J1994" s="431">
        <v>5.91</v>
      </c>
      <c r="K1994" s="431">
        <v>5.66</v>
      </c>
      <c r="L1994" s="431">
        <v>5.63</v>
      </c>
      <c r="M1994" s="431">
        <v>5.4</v>
      </c>
      <c r="N1994" s="431">
        <v>5.85</v>
      </c>
      <c r="O1994" s="431">
        <v>5.52</v>
      </c>
      <c r="P1994" s="431">
        <v>4.93</v>
      </c>
      <c r="Q1994" s="179">
        <f t="shared" si="61"/>
        <v>5.743333333333335</v>
      </c>
      <c r="R1994" s="179" t="s">
        <v>993</v>
      </c>
    </row>
    <row r="1995" spans="1:18" x14ac:dyDescent="0.15">
      <c r="A1995" s="179" t="str">
        <f t="shared" si="60"/>
        <v>Torreon_Optimal Year Round_180</v>
      </c>
      <c r="B1995" s="501" t="s">
        <v>1162</v>
      </c>
      <c r="C1995" s="429">
        <v>26</v>
      </c>
      <c r="D1995" s="429">
        <v>180</v>
      </c>
      <c r="E1995" s="431">
        <v>5.22</v>
      </c>
      <c r="F1995" s="431">
        <v>6.04</v>
      </c>
      <c r="G1995" s="431">
        <v>6.76</v>
      </c>
      <c r="H1995" s="431">
        <v>6.47</v>
      </c>
      <c r="I1995" s="431">
        <v>6.3</v>
      </c>
      <c r="J1995" s="431">
        <v>6.06</v>
      </c>
      <c r="K1995" s="431">
        <v>5.8</v>
      </c>
      <c r="L1995" s="431">
        <v>5.77</v>
      </c>
      <c r="M1995" s="431">
        <v>5.54</v>
      </c>
      <c r="N1995" s="431">
        <v>6</v>
      </c>
      <c r="O1995" s="431">
        <v>5.66</v>
      </c>
      <c r="P1995" s="431">
        <v>5.0599999999999996</v>
      </c>
      <c r="Q1995" s="179">
        <f t="shared" si="61"/>
        <v>5.8900000000000006</v>
      </c>
      <c r="R1995" s="179" t="s">
        <v>993</v>
      </c>
    </row>
    <row r="1996" spans="1:18" x14ac:dyDescent="0.15">
      <c r="A1996" s="179" t="str">
        <f t="shared" si="60"/>
        <v>Torreon_Optimal Year Round_202.5</v>
      </c>
      <c r="B1996" s="501" t="s">
        <v>1162</v>
      </c>
      <c r="C1996" s="429">
        <v>26</v>
      </c>
      <c r="D1996" s="429">
        <v>202.5</v>
      </c>
      <c r="E1996" s="431">
        <v>5.09</v>
      </c>
      <c r="F1996" s="431">
        <v>5.89</v>
      </c>
      <c r="G1996" s="431">
        <v>6.59</v>
      </c>
      <c r="H1996" s="431">
        <v>6.31</v>
      </c>
      <c r="I1996" s="431">
        <v>6.14</v>
      </c>
      <c r="J1996" s="431">
        <v>5.91</v>
      </c>
      <c r="K1996" s="431">
        <v>5.66</v>
      </c>
      <c r="L1996" s="431">
        <v>5.63</v>
      </c>
      <c r="M1996" s="431">
        <v>5.4</v>
      </c>
      <c r="N1996" s="431">
        <v>5.85</v>
      </c>
      <c r="O1996" s="431">
        <v>5.52</v>
      </c>
      <c r="P1996" s="431">
        <v>4.93</v>
      </c>
      <c r="Q1996" s="179">
        <f t="shared" si="61"/>
        <v>5.743333333333335</v>
      </c>
      <c r="R1996" s="179" t="s">
        <v>993</v>
      </c>
    </row>
    <row r="1997" spans="1:18" x14ac:dyDescent="0.15">
      <c r="A1997" s="179" t="str">
        <f t="shared" si="60"/>
        <v>Torreon_Optimal Year Round_225</v>
      </c>
      <c r="B1997" s="501" t="s">
        <v>1162</v>
      </c>
      <c r="C1997" s="429">
        <v>26</v>
      </c>
      <c r="D1997" s="429">
        <v>225</v>
      </c>
      <c r="E1997" s="429">
        <v>4.96</v>
      </c>
      <c r="F1997" s="429">
        <v>5.74</v>
      </c>
      <c r="G1997" s="429">
        <v>6.42</v>
      </c>
      <c r="H1997" s="429">
        <v>6.15</v>
      </c>
      <c r="I1997" s="429">
        <v>5.98</v>
      </c>
      <c r="J1997" s="429">
        <v>5.76</v>
      </c>
      <c r="K1997" s="429">
        <v>5.51</v>
      </c>
      <c r="L1997" s="429">
        <v>5.48</v>
      </c>
      <c r="M1997" s="429">
        <v>5.26</v>
      </c>
      <c r="N1997" s="429">
        <v>5.7</v>
      </c>
      <c r="O1997" s="429">
        <v>5.38</v>
      </c>
      <c r="P1997" s="429">
        <v>4.8099999999999996</v>
      </c>
      <c r="Q1997" s="179">
        <f t="shared" si="61"/>
        <v>5.5958333333333341</v>
      </c>
      <c r="R1997" s="179" t="s">
        <v>993</v>
      </c>
    </row>
    <row r="1998" spans="1:18" x14ac:dyDescent="0.15">
      <c r="A1998" s="179" t="str">
        <f t="shared" si="60"/>
        <v>Torreon_Optimal Year Round_247.5</v>
      </c>
      <c r="B1998" s="501" t="s">
        <v>1162</v>
      </c>
      <c r="C1998" s="429">
        <v>26</v>
      </c>
      <c r="D1998" s="429">
        <v>247.5</v>
      </c>
      <c r="E1998" s="429">
        <v>4.57</v>
      </c>
      <c r="F1998" s="429">
        <v>5.28</v>
      </c>
      <c r="G1998" s="429">
        <v>5.92</v>
      </c>
      <c r="H1998" s="429">
        <v>5.66</v>
      </c>
      <c r="I1998" s="429">
        <v>5.51</v>
      </c>
      <c r="J1998" s="429">
        <v>5.3</v>
      </c>
      <c r="K1998" s="429">
        <v>5.08</v>
      </c>
      <c r="L1998" s="429">
        <v>5.05</v>
      </c>
      <c r="M1998" s="429">
        <v>4.8499999999999996</v>
      </c>
      <c r="N1998" s="429">
        <v>5.25</v>
      </c>
      <c r="O1998" s="429">
        <v>4.95</v>
      </c>
      <c r="P1998" s="429">
        <v>4.43</v>
      </c>
      <c r="Q1998" s="179">
        <f t="shared" si="61"/>
        <v>5.1541666666666659</v>
      </c>
      <c r="R1998" s="179" t="s">
        <v>993</v>
      </c>
    </row>
    <row r="1999" spans="1:18" x14ac:dyDescent="0.15">
      <c r="A1999" s="179" t="str">
        <f t="shared" si="60"/>
        <v>Torreon_Optimal Year Round_270</v>
      </c>
      <c r="B1999" s="501" t="s">
        <v>1162</v>
      </c>
      <c r="C1999" s="429">
        <v>26</v>
      </c>
      <c r="D1999" s="429">
        <v>270</v>
      </c>
      <c r="E1999" s="429">
        <v>4.18</v>
      </c>
      <c r="F1999" s="429">
        <v>4.83</v>
      </c>
      <c r="G1999" s="429">
        <v>5.41</v>
      </c>
      <c r="H1999" s="429">
        <v>5.18</v>
      </c>
      <c r="I1999" s="429">
        <v>5.04</v>
      </c>
      <c r="J1999" s="429">
        <v>4.8499999999999996</v>
      </c>
      <c r="K1999" s="429">
        <v>4.6399999999999997</v>
      </c>
      <c r="L1999" s="429">
        <v>4.62</v>
      </c>
      <c r="M1999" s="429">
        <v>4.43</v>
      </c>
      <c r="N1999" s="429">
        <v>4.8</v>
      </c>
      <c r="O1999" s="429">
        <v>4.53</v>
      </c>
      <c r="P1999" s="429">
        <v>4.05</v>
      </c>
      <c r="Q1999" s="179">
        <f t="shared" si="61"/>
        <v>4.7133333333333329</v>
      </c>
      <c r="R1999" s="179" t="s">
        <v>993</v>
      </c>
    </row>
    <row r="2000" spans="1:18" x14ac:dyDescent="0.15">
      <c r="A2000" s="179" t="str">
        <f t="shared" si="60"/>
        <v>Tuxtla Gutierrex_Flat Surface_90</v>
      </c>
      <c r="B2000" s="179" t="s">
        <v>1163</v>
      </c>
      <c r="C2000" s="179">
        <v>0</v>
      </c>
      <c r="D2000" s="179">
        <v>90</v>
      </c>
      <c r="E2000" s="179">
        <v>4.3</v>
      </c>
      <c r="F2000" s="179">
        <v>4.96</v>
      </c>
      <c r="G2000" s="179">
        <v>5.85</v>
      </c>
      <c r="H2000" s="179">
        <v>6.05</v>
      </c>
      <c r="I2000" s="179">
        <v>5.77</v>
      </c>
      <c r="J2000" s="179">
        <v>5.29</v>
      </c>
      <c r="K2000" s="179">
        <v>5.61</v>
      </c>
      <c r="L2000" s="179">
        <v>5.34</v>
      </c>
      <c r="M2000" s="179">
        <v>4.67</v>
      </c>
      <c r="N2000" s="179">
        <v>4.47</v>
      </c>
      <c r="O2000" s="179">
        <v>4.46</v>
      </c>
      <c r="P2000" s="179">
        <v>4.25</v>
      </c>
      <c r="Q2000" s="179">
        <f t="shared" si="61"/>
        <v>5.085</v>
      </c>
      <c r="R2000" s="179" t="s">
        <v>994</v>
      </c>
    </row>
    <row r="2001" spans="1:18" x14ac:dyDescent="0.15">
      <c r="A2001" s="179" t="str">
        <f t="shared" si="60"/>
        <v>Tuxtla Gutierrex_Flat Surface_112.5</v>
      </c>
      <c r="B2001" s="179" t="s">
        <v>1163</v>
      </c>
      <c r="C2001" s="179">
        <v>0</v>
      </c>
      <c r="D2001" s="179">
        <v>112.5</v>
      </c>
      <c r="E2001" s="179">
        <v>4.3</v>
      </c>
      <c r="F2001" s="179">
        <v>4.96</v>
      </c>
      <c r="G2001" s="179">
        <v>5.85</v>
      </c>
      <c r="H2001" s="179">
        <v>6.05</v>
      </c>
      <c r="I2001" s="179">
        <v>5.77</v>
      </c>
      <c r="J2001" s="179">
        <v>5.29</v>
      </c>
      <c r="K2001" s="179">
        <v>5.61</v>
      </c>
      <c r="L2001" s="179">
        <v>5.34</v>
      </c>
      <c r="M2001" s="179">
        <v>4.67</v>
      </c>
      <c r="N2001" s="179">
        <v>4.47</v>
      </c>
      <c r="O2001" s="179">
        <v>4.46</v>
      </c>
      <c r="P2001" s="179">
        <v>4.25</v>
      </c>
      <c r="Q2001" s="179">
        <f t="shared" si="61"/>
        <v>5.085</v>
      </c>
      <c r="R2001" s="179" t="s">
        <v>994</v>
      </c>
    </row>
    <row r="2002" spans="1:18" x14ac:dyDescent="0.15">
      <c r="A2002" s="179" t="str">
        <f t="shared" si="60"/>
        <v>Tuxtla Gutierrex_Flat Surface_135</v>
      </c>
      <c r="B2002" s="179" t="s">
        <v>1163</v>
      </c>
      <c r="C2002" s="179">
        <v>0</v>
      </c>
      <c r="D2002" s="179">
        <v>135</v>
      </c>
      <c r="E2002" s="179">
        <v>4.3</v>
      </c>
      <c r="F2002" s="179">
        <v>4.96</v>
      </c>
      <c r="G2002" s="179">
        <v>5.85</v>
      </c>
      <c r="H2002" s="179">
        <v>6.05</v>
      </c>
      <c r="I2002" s="179">
        <v>5.77</v>
      </c>
      <c r="J2002" s="179">
        <v>5.29</v>
      </c>
      <c r="K2002" s="179">
        <v>5.61</v>
      </c>
      <c r="L2002" s="179">
        <v>5.34</v>
      </c>
      <c r="M2002" s="179">
        <v>4.67</v>
      </c>
      <c r="N2002" s="179">
        <v>4.47</v>
      </c>
      <c r="O2002" s="179">
        <v>4.46</v>
      </c>
      <c r="P2002" s="179">
        <v>4.25</v>
      </c>
      <c r="Q2002" s="179">
        <f t="shared" si="61"/>
        <v>5.085</v>
      </c>
      <c r="R2002" s="179" t="s">
        <v>994</v>
      </c>
    </row>
    <row r="2003" spans="1:18" x14ac:dyDescent="0.15">
      <c r="A2003" s="179" t="str">
        <f t="shared" si="60"/>
        <v>Tuxtla Gutierrex_Flat Surface_157.5</v>
      </c>
      <c r="B2003" s="179" t="s">
        <v>1163</v>
      </c>
      <c r="C2003" s="179">
        <v>0</v>
      </c>
      <c r="D2003" s="179">
        <v>157.5</v>
      </c>
      <c r="E2003" s="179">
        <v>4.3</v>
      </c>
      <c r="F2003" s="179">
        <v>4.96</v>
      </c>
      <c r="G2003" s="179">
        <v>5.85</v>
      </c>
      <c r="H2003" s="179">
        <v>6.05</v>
      </c>
      <c r="I2003" s="179">
        <v>5.77</v>
      </c>
      <c r="J2003" s="179">
        <v>5.29</v>
      </c>
      <c r="K2003" s="179">
        <v>5.61</v>
      </c>
      <c r="L2003" s="179">
        <v>5.34</v>
      </c>
      <c r="M2003" s="179">
        <v>4.67</v>
      </c>
      <c r="N2003" s="179">
        <v>4.47</v>
      </c>
      <c r="O2003" s="179">
        <v>4.46</v>
      </c>
      <c r="P2003" s="179">
        <v>4.25</v>
      </c>
      <c r="Q2003" s="179">
        <f t="shared" si="61"/>
        <v>5.085</v>
      </c>
      <c r="R2003" s="179" t="s">
        <v>994</v>
      </c>
    </row>
    <row r="2004" spans="1:18" x14ac:dyDescent="0.15">
      <c r="A2004" s="179" t="str">
        <f t="shared" si="60"/>
        <v>Tuxtla Gutierrex_Flat Surface_180</v>
      </c>
      <c r="B2004" s="179" t="s">
        <v>1163</v>
      </c>
      <c r="C2004" s="179">
        <v>0</v>
      </c>
      <c r="D2004" s="179">
        <v>180</v>
      </c>
      <c r="E2004" s="179">
        <v>4.3</v>
      </c>
      <c r="F2004" s="179">
        <v>4.96</v>
      </c>
      <c r="G2004" s="179">
        <v>5.85</v>
      </c>
      <c r="H2004" s="179">
        <v>6.05</v>
      </c>
      <c r="I2004" s="179">
        <v>5.77</v>
      </c>
      <c r="J2004" s="179">
        <v>5.29</v>
      </c>
      <c r="K2004" s="179">
        <v>5.61</v>
      </c>
      <c r="L2004" s="179">
        <v>5.34</v>
      </c>
      <c r="M2004" s="179">
        <v>4.67</v>
      </c>
      <c r="N2004" s="179">
        <v>4.47</v>
      </c>
      <c r="O2004" s="179">
        <v>4.46</v>
      </c>
      <c r="P2004" s="179">
        <v>4.25</v>
      </c>
      <c r="Q2004" s="179">
        <f t="shared" si="61"/>
        <v>5.085</v>
      </c>
      <c r="R2004" s="179" t="s">
        <v>994</v>
      </c>
    </row>
    <row r="2005" spans="1:18" x14ac:dyDescent="0.15">
      <c r="A2005" s="179" t="str">
        <f t="shared" si="60"/>
        <v>Tuxtla Gutierrex_Flat Surface_202.5</v>
      </c>
      <c r="B2005" s="179" t="s">
        <v>1163</v>
      </c>
      <c r="C2005" s="179">
        <v>0</v>
      </c>
      <c r="D2005" s="179">
        <v>202.5</v>
      </c>
      <c r="E2005" s="179">
        <v>4.3</v>
      </c>
      <c r="F2005" s="179">
        <v>4.96</v>
      </c>
      <c r="G2005" s="179">
        <v>5.85</v>
      </c>
      <c r="H2005" s="179">
        <v>6.05</v>
      </c>
      <c r="I2005" s="179">
        <v>5.77</v>
      </c>
      <c r="J2005" s="179">
        <v>5.29</v>
      </c>
      <c r="K2005" s="179">
        <v>5.61</v>
      </c>
      <c r="L2005" s="179">
        <v>5.34</v>
      </c>
      <c r="M2005" s="179">
        <v>4.67</v>
      </c>
      <c r="N2005" s="179">
        <v>4.47</v>
      </c>
      <c r="O2005" s="179">
        <v>4.46</v>
      </c>
      <c r="P2005" s="179">
        <v>4.25</v>
      </c>
      <c r="Q2005" s="179">
        <f t="shared" si="61"/>
        <v>5.085</v>
      </c>
      <c r="R2005" s="179" t="s">
        <v>994</v>
      </c>
    </row>
    <row r="2006" spans="1:18" x14ac:dyDescent="0.15">
      <c r="A2006" s="179" t="str">
        <f t="shared" si="60"/>
        <v>Tuxtla Gutierrex_Flat Surface_225</v>
      </c>
      <c r="B2006" s="179" t="s">
        <v>1163</v>
      </c>
      <c r="C2006" s="179">
        <v>0</v>
      </c>
      <c r="D2006" s="179">
        <v>225</v>
      </c>
      <c r="E2006" s="179">
        <v>4.3</v>
      </c>
      <c r="F2006" s="179">
        <v>4.96</v>
      </c>
      <c r="G2006" s="179">
        <v>5.85</v>
      </c>
      <c r="H2006" s="179">
        <v>6.05</v>
      </c>
      <c r="I2006" s="179">
        <v>5.77</v>
      </c>
      <c r="J2006" s="179">
        <v>5.29</v>
      </c>
      <c r="K2006" s="179">
        <v>5.61</v>
      </c>
      <c r="L2006" s="179">
        <v>5.34</v>
      </c>
      <c r="M2006" s="179">
        <v>4.67</v>
      </c>
      <c r="N2006" s="179">
        <v>4.47</v>
      </c>
      <c r="O2006" s="179">
        <v>4.46</v>
      </c>
      <c r="P2006" s="179">
        <v>4.25</v>
      </c>
      <c r="Q2006" s="179">
        <f t="shared" si="61"/>
        <v>5.085</v>
      </c>
      <c r="R2006" s="179" t="s">
        <v>994</v>
      </c>
    </row>
    <row r="2007" spans="1:18" x14ac:dyDescent="0.15">
      <c r="A2007" s="179" t="str">
        <f t="shared" si="60"/>
        <v>Tuxtla Gutierrex_Flat Surface_247.5</v>
      </c>
      <c r="B2007" s="179" t="s">
        <v>1163</v>
      </c>
      <c r="C2007" s="179">
        <v>0</v>
      </c>
      <c r="D2007" s="179">
        <v>247.5</v>
      </c>
      <c r="E2007" s="179">
        <v>4.3</v>
      </c>
      <c r="F2007" s="179">
        <v>4.96</v>
      </c>
      <c r="G2007" s="179">
        <v>5.85</v>
      </c>
      <c r="H2007" s="179">
        <v>6.05</v>
      </c>
      <c r="I2007" s="179">
        <v>5.77</v>
      </c>
      <c r="J2007" s="179">
        <v>5.29</v>
      </c>
      <c r="K2007" s="179">
        <v>5.61</v>
      </c>
      <c r="L2007" s="179">
        <v>5.34</v>
      </c>
      <c r="M2007" s="179">
        <v>4.67</v>
      </c>
      <c r="N2007" s="179">
        <v>4.47</v>
      </c>
      <c r="O2007" s="179">
        <v>4.46</v>
      </c>
      <c r="P2007" s="179">
        <v>4.25</v>
      </c>
      <c r="Q2007" s="179">
        <f t="shared" si="61"/>
        <v>5.085</v>
      </c>
      <c r="R2007" s="179" t="s">
        <v>994</v>
      </c>
    </row>
    <row r="2008" spans="1:18" x14ac:dyDescent="0.15">
      <c r="A2008" s="179" t="str">
        <f t="shared" si="60"/>
        <v>Tuxtla Gutierrex_Flat Surface_270</v>
      </c>
      <c r="B2008" s="179" t="s">
        <v>1163</v>
      </c>
      <c r="C2008" s="179">
        <v>0</v>
      </c>
      <c r="D2008" s="179">
        <v>270</v>
      </c>
      <c r="E2008" s="179">
        <v>4.3</v>
      </c>
      <c r="F2008" s="179">
        <v>4.96</v>
      </c>
      <c r="G2008" s="179">
        <v>5.85</v>
      </c>
      <c r="H2008" s="179">
        <v>6.05</v>
      </c>
      <c r="I2008" s="179">
        <v>5.77</v>
      </c>
      <c r="J2008" s="179">
        <v>5.29</v>
      </c>
      <c r="K2008" s="179">
        <v>5.61</v>
      </c>
      <c r="L2008" s="179">
        <v>5.34</v>
      </c>
      <c r="M2008" s="179">
        <v>4.67</v>
      </c>
      <c r="N2008" s="179">
        <v>4.47</v>
      </c>
      <c r="O2008" s="179">
        <v>4.46</v>
      </c>
      <c r="P2008" s="179">
        <v>4.25</v>
      </c>
      <c r="Q2008" s="179">
        <f t="shared" si="61"/>
        <v>5.085</v>
      </c>
      <c r="R2008" s="179" t="s">
        <v>994</v>
      </c>
    </row>
    <row r="2009" spans="1:18" x14ac:dyDescent="0.15">
      <c r="A2009" s="179" t="str">
        <f t="shared" si="60"/>
        <v>Tuxtla Gutierrex_Optimal Summer_90</v>
      </c>
      <c r="B2009" s="179" t="s">
        <v>1163</v>
      </c>
      <c r="C2009" s="179">
        <v>2</v>
      </c>
      <c r="D2009" s="179">
        <v>90</v>
      </c>
      <c r="E2009" s="179">
        <v>3.47</v>
      </c>
      <c r="F2009" s="179">
        <v>4</v>
      </c>
      <c r="G2009" s="179">
        <v>4.7</v>
      </c>
      <c r="H2009" s="179">
        <v>4.84</v>
      </c>
      <c r="I2009" s="179">
        <v>4.62</v>
      </c>
      <c r="J2009" s="179">
        <v>4.24</v>
      </c>
      <c r="K2009" s="179">
        <v>4.5</v>
      </c>
      <c r="L2009" s="179">
        <v>4.2699999999999996</v>
      </c>
      <c r="M2009" s="179">
        <v>3.74</v>
      </c>
      <c r="N2009" s="179">
        <v>3.6</v>
      </c>
      <c r="O2009" s="179">
        <v>3.61</v>
      </c>
      <c r="P2009" s="179">
        <v>3.44</v>
      </c>
      <c r="Q2009" s="179">
        <f t="shared" si="61"/>
        <v>4.0858333333333334</v>
      </c>
      <c r="R2009" s="179" t="s">
        <v>958</v>
      </c>
    </row>
    <row r="2010" spans="1:18" x14ac:dyDescent="0.15">
      <c r="A2010" s="179" t="str">
        <f t="shared" si="60"/>
        <v>Tuxtla Gutierrex_Optimal Summer_112.5</v>
      </c>
      <c r="B2010" s="179" t="s">
        <v>1163</v>
      </c>
      <c r="C2010" s="179">
        <v>2</v>
      </c>
      <c r="D2010" s="179">
        <v>112.5</v>
      </c>
      <c r="E2010" s="179">
        <v>3.8</v>
      </c>
      <c r="F2010" s="179">
        <v>4.38</v>
      </c>
      <c r="G2010" s="179">
        <v>5.14</v>
      </c>
      <c r="H2010" s="179">
        <v>5.29</v>
      </c>
      <c r="I2010" s="179">
        <v>5.0599999999999996</v>
      </c>
      <c r="J2010" s="179">
        <v>4.6399999999999997</v>
      </c>
      <c r="K2010" s="179">
        <v>4.92</v>
      </c>
      <c r="L2010" s="179">
        <v>4.67</v>
      </c>
      <c r="M2010" s="179">
        <v>4.0999999999999996</v>
      </c>
      <c r="N2010" s="179">
        <v>3.94</v>
      </c>
      <c r="O2010" s="179">
        <v>3.95</v>
      </c>
      <c r="P2010" s="179">
        <v>3.76</v>
      </c>
      <c r="Q2010" s="179">
        <f t="shared" si="61"/>
        <v>4.4708333333333332</v>
      </c>
      <c r="R2010" s="179" t="s">
        <v>958</v>
      </c>
    </row>
    <row r="2011" spans="1:18" x14ac:dyDescent="0.15">
      <c r="A2011" s="179" t="str">
        <f t="shared" si="60"/>
        <v>Tuxtla Gutierrex_Optimal Summer_135</v>
      </c>
      <c r="B2011" s="179" t="s">
        <v>1163</v>
      </c>
      <c r="C2011" s="179">
        <v>2</v>
      </c>
      <c r="D2011" s="179">
        <v>135</v>
      </c>
      <c r="E2011" s="179">
        <v>4.12</v>
      </c>
      <c r="F2011" s="179">
        <v>4.75</v>
      </c>
      <c r="G2011" s="179">
        <v>5.58</v>
      </c>
      <c r="H2011" s="179">
        <v>5.75</v>
      </c>
      <c r="I2011" s="179">
        <v>5.49</v>
      </c>
      <c r="J2011" s="179">
        <v>5.04</v>
      </c>
      <c r="K2011" s="179">
        <v>5.34</v>
      </c>
      <c r="L2011" s="179">
        <v>5.07</v>
      </c>
      <c r="M2011" s="179">
        <v>4.45</v>
      </c>
      <c r="N2011" s="179">
        <v>4.28</v>
      </c>
      <c r="O2011" s="179">
        <v>4.28</v>
      </c>
      <c r="P2011" s="179">
        <v>4.08</v>
      </c>
      <c r="Q2011" s="179">
        <f t="shared" si="61"/>
        <v>4.8525000000000009</v>
      </c>
      <c r="R2011" s="179" t="s">
        <v>958</v>
      </c>
    </row>
    <row r="2012" spans="1:18" x14ac:dyDescent="0.15">
      <c r="A2012" s="179" t="str">
        <f t="shared" si="60"/>
        <v>Tuxtla Gutierrex_Optimal Summer_157.5</v>
      </c>
      <c r="B2012" s="179" t="s">
        <v>1163</v>
      </c>
      <c r="C2012" s="179">
        <v>2</v>
      </c>
      <c r="D2012" s="179">
        <v>157.5</v>
      </c>
      <c r="E2012" s="179">
        <v>4.2300000000000004</v>
      </c>
      <c r="F2012" s="179">
        <v>4.88</v>
      </c>
      <c r="G2012" s="179">
        <v>5.72</v>
      </c>
      <c r="H2012" s="179">
        <v>5.9</v>
      </c>
      <c r="I2012" s="179">
        <v>5.64</v>
      </c>
      <c r="J2012" s="179">
        <v>5.17</v>
      </c>
      <c r="K2012" s="179">
        <v>5.48</v>
      </c>
      <c r="L2012" s="179">
        <v>5.21</v>
      </c>
      <c r="M2012" s="179">
        <v>4.5599999999999996</v>
      </c>
      <c r="N2012" s="179">
        <v>4.3899999999999997</v>
      </c>
      <c r="O2012" s="179">
        <v>4.4000000000000004</v>
      </c>
      <c r="P2012" s="179">
        <v>4.1900000000000004</v>
      </c>
      <c r="Q2012" s="179">
        <f t="shared" si="61"/>
        <v>4.980833333333333</v>
      </c>
      <c r="R2012" s="179" t="s">
        <v>958</v>
      </c>
    </row>
    <row r="2013" spans="1:18" x14ac:dyDescent="0.15">
      <c r="A2013" s="179" t="str">
        <f t="shared" si="60"/>
        <v>Tuxtla Gutierrex_Optimal Summer_180</v>
      </c>
      <c r="B2013" s="179" t="s">
        <v>1163</v>
      </c>
      <c r="C2013" s="179">
        <v>2</v>
      </c>
      <c r="D2013" s="179">
        <v>180</v>
      </c>
      <c r="E2013" s="179">
        <v>4.34</v>
      </c>
      <c r="F2013" s="179">
        <v>5</v>
      </c>
      <c r="G2013" s="179">
        <v>5.87</v>
      </c>
      <c r="H2013" s="179">
        <v>6.05</v>
      </c>
      <c r="I2013" s="179">
        <v>5.78</v>
      </c>
      <c r="J2013" s="179">
        <v>5.3</v>
      </c>
      <c r="K2013" s="179">
        <v>5.62</v>
      </c>
      <c r="L2013" s="179">
        <v>5.34</v>
      </c>
      <c r="M2013" s="179">
        <v>4.68</v>
      </c>
      <c r="N2013" s="179">
        <v>4.5</v>
      </c>
      <c r="O2013" s="179">
        <v>4.51</v>
      </c>
      <c r="P2013" s="179">
        <v>4.3</v>
      </c>
      <c r="Q2013" s="179">
        <f t="shared" si="61"/>
        <v>5.107499999999999</v>
      </c>
      <c r="R2013" s="179" t="s">
        <v>958</v>
      </c>
    </row>
    <row r="2014" spans="1:18" x14ac:dyDescent="0.15">
      <c r="A2014" s="179" t="str">
        <f t="shared" si="60"/>
        <v>Tuxtla Gutierrex_Optimal Summer_202.5</v>
      </c>
      <c r="B2014" s="179" t="s">
        <v>1163</v>
      </c>
      <c r="C2014" s="179">
        <v>2</v>
      </c>
      <c r="D2014" s="179">
        <v>202.5</v>
      </c>
      <c r="E2014" s="179">
        <v>4.2300000000000004</v>
      </c>
      <c r="F2014" s="179">
        <v>4.88</v>
      </c>
      <c r="G2014" s="179">
        <v>5.72</v>
      </c>
      <c r="H2014" s="179">
        <v>5.9</v>
      </c>
      <c r="I2014" s="179">
        <v>5.64</v>
      </c>
      <c r="J2014" s="179">
        <v>5.17</v>
      </c>
      <c r="K2014" s="179">
        <v>5.48</v>
      </c>
      <c r="L2014" s="179">
        <v>5.21</v>
      </c>
      <c r="M2014" s="179">
        <v>4.5599999999999996</v>
      </c>
      <c r="N2014" s="179">
        <v>4.3899999999999997</v>
      </c>
      <c r="O2014" s="179">
        <v>4.4000000000000004</v>
      </c>
      <c r="P2014" s="179">
        <v>4.1900000000000004</v>
      </c>
      <c r="Q2014" s="179">
        <f t="shared" si="61"/>
        <v>4.980833333333333</v>
      </c>
      <c r="R2014" s="179" t="s">
        <v>958</v>
      </c>
    </row>
    <row r="2015" spans="1:18" x14ac:dyDescent="0.15">
      <c r="A2015" s="179" t="str">
        <f t="shared" si="60"/>
        <v>Tuxtla Gutierrex_Optimal Summer_225</v>
      </c>
      <c r="B2015" s="179" t="s">
        <v>1163</v>
      </c>
      <c r="C2015" s="179">
        <v>2</v>
      </c>
      <c r="D2015" s="179">
        <v>225</v>
      </c>
      <c r="E2015" s="179">
        <v>4.12</v>
      </c>
      <c r="F2015" s="179">
        <v>4.75</v>
      </c>
      <c r="G2015" s="179">
        <v>5.58</v>
      </c>
      <c r="H2015" s="179">
        <v>5.75</v>
      </c>
      <c r="I2015" s="179">
        <v>5.49</v>
      </c>
      <c r="J2015" s="179">
        <v>5.04</v>
      </c>
      <c r="K2015" s="179">
        <v>5.34</v>
      </c>
      <c r="L2015" s="179">
        <v>5.07</v>
      </c>
      <c r="M2015" s="179">
        <v>4.45</v>
      </c>
      <c r="N2015" s="179">
        <v>4.28</v>
      </c>
      <c r="O2015" s="179">
        <v>4.28</v>
      </c>
      <c r="P2015" s="179">
        <v>4.08</v>
      </c>
      <c r="Q2015" s="179">
        <f t="shared" si="61"/>
        <v>4.8525000000000009</v>
      </c>
      <c r="R2015" s="179" t="s">
        <v>958</v>
      </c>
    </row>
    <row r="2016" spans="1:18" x14ac:dyDescent="0.15">
      <c r="A2016" s="179" t="str">
        <f t="shared" si="60"/>
        <v>Tuxtla Gutierrex_Optimal Summer_247.5</v>
      </c>
      <c r="B2016" s="179" t="s">
        <v>1163</v>
      </c>
      <c r="C2016" s="179">
        <v>2</v>
      </c>
      <c r="D2016" s="179">
        <v>247.5</v>
      </c>
      <c r="E2016" s="179">
        <v>3.8</v>
      </c>
      <c r="F2016" s="179">
        <v>4.38</v>
      </c>
      <c r="G2016" s="179">
        <v>5.14</v>
      </c>
      <c r="H2016" s="179">
        <v>5.29</v>
      </c>
      <c r="I2016" s="179">
        <v>5.0599999999999996</v>
      </c>
      <c r="J2016" s="179">
        <v>4.6399999999999997</v>
      </c>
      <c r="K2016" s="179">
        <v>4.92</v>
      </c>
      <c r="L2016" s="179">
        <v>4.67</v>
      </c>
      <c r="M2016" s="179">
        <v>4.0999999999999996</v>
      </c>
      <c r="N2016" s="179">
        <v>3.94</v>
      </c>
      <c r="O2016" s="179">
        <v>3.95</v>
      </c>
      <c r="P2016" s="179">
        <v>3.76</v>
      </c>
      <c r="Q2016" s="179">
        <f t="shared" si="61"/>
        <v>4.4708333333333332</v>
      </c>
      <c r="R2016" s="179" t="s">
        <v>958</v>
      </c>
    </row>
    <row r="2017" spans="1:18" x14ac:dyDescent="0.15">
      <c r="A2017" s="179" t="str">
        <f t="shared" si="60"/>
        <v>Tuxtla Gutierrex_Optimal Summer_270</v>
      </c>
      <c r="B2017" s="179" t="s">
        <v>1163</v>
      </c>
      <c r="C2017" s="179">
        <v>2</v>
      </c>
      <c r="D2017" s="179">
        <v>270</v>
      </c>
      <c r="E2017" s="179">
        <v>3.47</v>
      </c>
      <c r="F2017" s="179">
        <v>4</v>
      </c>
      <c r="G2017" s="179">
        <v>4.7</v>
      </c>
      <c r="H2017" s="179">
        <v>4.84</v>
      </c>
      <c r="I2017" s="179">
        <v>4.62</v>
      </c>
      <c r="J2017" s="179">
        <v>4.24</v>
      </c>
      <c r="K2017" s="179">
        <v>4.5</v>
      </c>
      <c r="L2017" s="179">
        <v>4.2699999999999996</v>
      </c>
      <c r="M2017" s="179">
        <v>3.74</v>
      </c>
      <c r="N2017" s="179">
        <v>3.6</v>
      </c>
      <c r="O2017" s="179">
        <v>3.61</v>
      </c>
      <c r="P2017" s="179">
        <v>3.44</v>
      </c>
      <c r="Q2017" s="179">
        <f t="shared" si="61"/>
        <v>4.0858333333333334</v>
      </c>
      <c r="R2017" s="179" t="s">
        <v>958</v>
      </c>
    </row>
    <row r="2018" spans="1:18" x14ac:dyDescent="0.15">
      <c r="A2018" s="179" t="str">
        <f t="shared" si="60"/>
        <v>Tuxtla Gutierrex_Optimal Year Round_90</v>
      </c>
      <c r="B2018" s="179" t="s">
        <v>1163</v>
      </c>
      <c r="C2018" s="179">
        <v>17</v>
      </c>
      <c r="D2018" s="179">
        <v>90</v>
      </c>
      <c r="E2018" s="179">
        <v>3.94</v>
      </c>
      <c r="F2018" s="179">
        <v>4.34</v>
      </c>
      <c r="G2018" s="179">
        <v>4.8600000000000003</v>
      </c>
      <c r="H2018" s="179">
        <v>4.76</v>
      </c>
      <c r="I2018" s="179">
        <v>4.59</v>
      </c>
      <c r="J2018" s="179">
        <v>4.28</v>
      </c>
      <c r="K2018" s="179">
        <v>4.5199999999999996</v>
      </c>
      <c r="L2018" s="179">
        <v>4.1500000000000004</v>
      </c>
      <c r="M2018" s="179">
        <v>3.78</v>
      </c>
      <c r="N2018" s="179">
        <v>3.81</v>
      </c>
      <c r="O2018" s="179">
        <v>4.04</v>
      </c>
      <c r="P2018" s="179">
        <v>3.96</v>
      </c>
      <c r="Q2018" s="179">
        <f t="shared" si="61"/>
        <v>4.2525000000000004</v>
      </c>
      <c r="R2018" s="179" t="s">
        <v>993</v>
      </c>
    </row>
    <row r="2019" spans="1:18" x14ac:dyDescent="0.15">
      <c r="A2019" s="179" t="str">
        <f t="shared" si="60"/>
        <v>Tuxtla Gutierrex_Optimal Year Round_112.5</v>
      </c>
      <c r="B2019" s="179" t="s">
        <v>1163</v>
      </c>
      <c r="C2019" s="179">
        <v>17</v>
      </c>
      <c r="D2019" s="179">
        <v>112.5</v>
      </c>
      <c r="E2019" s="179">
        <v>4.3</v>
      </c>
      <c r="F2019" s="179">
        <v>4.75</v>
      </c>
      <c r="G2019" s="179">
        <v>5.32</v>
      </c>
      <c r="H2019" s="179">
        <v>5.21</v>
      </c>
      <c r="I2019" s="179">
        <v>5.0199999999999996</v>
      </c>
      <c r="J2019" s="179">
        <v>4.68</v>
      </c>
      <c r="K2019" s="179">
        <v>4.9400000000000004</v>
      </c>
      <c r="L2019" s="179">
        <v>4.54</v>
      </c>
      <c r="M2019" s="179">
        <v>4.13</v>
      </c>
      <c r="N2019" s="179">
        <v>4.16</v>
      </c>
      <c r="O2019" s="179">
        <v>4.42</v>
      </c>
      <c r="P2019" s="179">
        <v>4.33</v>
      </c>
      <c r="Q2019" s="179">
        <f t="shared" si="61"/>
        <v>4.6499999999999995</v>
      </c>
      <c r="R2019" s="179" t="s">
        <v>993</v>
      </c>
    </row>
    <row r="2020" spans="1:18" x14ac:dyDescent="0.15">
      <c r="A2020" s="179" t="str">
        <f t="shared" si="60"/>
        <v>Tuxtla Gutierrex_Optimal Year Round_135</v>
      </c>
      <c r="B2020" s="179" t="s">
        <v>1163</v>
      </c>
      <c r="C2020" s="179">
        <v>17</v>
      </c>
      <c r="D2020" s="179">
        <v>135</v>
      </c>
      <c r="E2020" s="179">
        <v>4.67</v>
      </c>
      <c r="F2020" s="179">
        <v>5.16</v>
      </c>
      <c r="G2020" s="179">
        <v>5.78</v>
      </c>
      <c r="H2020" s="179">
        <v>5.65</v>
      </c>
      <c r="I2020" s="179">
        <v>5.45</v>
      </c>
      <c r="J2020" s="179">
        <v>5.08</v>
      </c>
      <c r="K2020" s="179">
        <v>5.37</v>
      </c>
      <c r="L2020" s="179">
        <v>4.93</v>
      </c>
      <c r="M2020" s="179">
        <v>4.4800000000000004</v>
      </c>
      <c r="N2020" s="179">
        <v>4.5199999999999996</v>
      </c>
      <c r="O2020" s="179">
        <v>4.8</v>
      </c>
      <c r="P2020" s="179">
        <v>4.7</v>
      </c>
      <c r="Q2020" s="179">
        <f t="shared" si="61"/>
        <v>5.0491666666666655</v>
      </c>
      <c r="R2020" s="179" t="s">
        <v>993</v>
      </c>
    </row>
    <row r="2021" spans="1:18" x14ac:dyDescent="0.15">
      <c r="A2021" s="179" t="str">
        <f t="shared" si="60"/>
        <v>Tuxtla Gutierrex_Optimal Year Round_157.5</v>
      </c>
      <c r="B2021" s="179" t="s">
        <v>1163</v>
      </c>
      <c r="C2021" s="179">
        <v>17</v>
      </c>
      <c r="D2021" s="179">
        <v>157.5</v>
      </c>
      <c r="E2021" s="179">
        <v>4.8</v>
      </c>
      <c r="F2021" s="179">
        <v>5.29</v>
      </c>
      <c r="G2021" s="179">
        <v>5.93</v>
      </c>
      <c r="H2021" s="179">
        <v>5.8</v>
      </c>
      <c r="I2021" s="179">
        <v>5.6</v>
      </c>
      <c r="J2021" s="179">
        <v>5.22</v>
      </c>
      <c r="K2021" s="179">
        <v>5.51</v>
      </c>
      <c r="L2021" s="179">
        <v>5.0599999999999996</v>
      </c>
      <c r="M2021" s="179">
        <v>4.5999999999999996</v>
      </c>
      <c r="N2021" s="179">
        <v>4.6399999999999997</v>
      </c>
      <c r="O2021" s="179">
        <v>4.92</v>
      </c>
      <c r="P2021" s="179">
        <v>4.83</v>
      </c>
      <c r="Q2021" s="179">
        <f t="shared" si="61"/>
        <v>5.1833333333333336</v>
      </c>
      <c r="R2021" s="179" t="s">
        <v>993</v>
      </c>
    </row>
    <row r="2022" spans="1:18" x14ac:dyDescent="0.15">
      <c r="A2022" s="179" t="str">
        <f t="shared" si="60"/>
        <v>Tuxtla Gutierrex_Optimal Year Round_180</v>
      </c>
      <c r="B2022" s="179" t="s">
        <v>1163</v>
      </c>
      <c r="C2022" s="179">
        <v>17</v>
      </c>
      <c r="D2022" s="179">
        <v>180</v>
      </c>
      <c r="E2022" s="179">
        <v>4.92</v>
      </c>
      <c r="F2022" s="179">
        <v>5.43</v>
      </c>
      <c r="G2022" s="179">
        <v>6.08</v>
      </c>
      <c r="H2022" s="179">
        <v>5.95</v>
      </c>
      <c r="I2022" s="179">
        <v>5.74</v>
      </c>
      <c r="J2022" s="179">
        <v>5.35</v>
      </c>
      <c r="K2022" s="179">
        <v>5.65</v>
      </c>
      <c r="L2022" s="179">
        <v>5.19</v>
      </c>
      <c r="M2022" s="179">
        <v>4.72</v>
      </c>
      <c r="N2022" s="179">
        <v>4.76</v>
      </c>
      <c r="O2022" s="179">
        <v>5.05</v>
      </c>
      <c r="P2022" s="179">
        <v>4.95</v>
      </c>
      <c r="Q2022" s="179">
        <f t="shared" si="61"/>
        <v>5.315833333333333</v>
      </c>
      <c r="R2022" s="179" t="s">
        <v>993</v>
      </c>
    </row>
    <row r="2023" spans="1:18" x14ac:dyDescent="0.15">
      <c r="A2023" s="179" t="str">
        <f t="shared" si="60"/>
        <v>Tuxtla Gutierrex_Optimal Year Round_202.5</v>
      </c>
      <c r="B2023" s="179" t="s">
        <v>1163</v>
      </c>
      <c r="C2023" s="179">
        <v>17</v>
      </c>
      <c r="D2023" s="179">
        <v>202.5</v>
      </c>
      <c r="E2023" s="179">
        <v>4.8</v>
      </c>
      <c r="F2023" s="179">
        <v>5.29</v>
      </c>
      <c r="G2023" s="179">
        <v>5.93</v>
      </c>
      <c r="H2023" s="179">
        <v>5.8</v>
      </c>
      <c r="I2023" s="179">
        <v>5.6</v>
      </c>
      <c r="J2023" s="179">
        <v>5.22</v>
      </c>
      <c r="K2023" s="179">
        <v>5.51</v>
      </c>
      <c r="L2023" s="179">
        <v>5.0599999999999996</v>
      </c>
      <c r="M2023" s="179">
        <v>4.5999999999999996</v>
      </c>
      <c r="N2023" s="179">
        <v>4.6399999999999997</v>
      </c>
      <c r="O2023" s="179">
        <v>4.92</v>
      </c>
      <c r="P2023" s="179">
        <v>4.83</v>
      </c>
      <c r="Q2023" s="179">
        <f t="shared" si="61"/>
        <v>5.1833333333333336</v>
      </c>
      <c r="R2023" s="179" t="s">
        <v>993</v>
      </c>
    </row>
    <row r="2024" spans="1:18" x14ac:dyDescent="0.15">
      <c r="A2024" s="179" t="str">
        <f t="shared" si="60"/>
        <v>Tuxtla Gutierrex_Optimal Year Round_225</v>
      </c>
      <c r="B2024" s="179" t="s">
        <v>1163</v>
      </c>
      <c r="C2024" s="179">
        <v>17</v>
      </c>
      <c r="D2024" s="179">
        <v>225</v>
      </c>
      <c r="E2024" s="179">
        <v>4.67</v>
      </c>
      <c r="F2024" s="179">
        <v>5.16</v>
      </c>
      <c r="G2024" s="179">
        <v>5.78</v>
      </c>
      <c r="H2024" s="179">
        <v>5.65</v>
      </c>
      <c r="I2024" s="179">
        <v>5.45</v>
      </c>
      <c r="J2024" s="179">
        <v>5.08</v>
      </c>
      <c r="K2024" s="179">
        <v>5.37</v>
      </c>
      <c r="L2024" s="179">
        <v>4.93</v>
      </c>
      <c r="M2024" s="179">
        <v>4.4800000000000004</v>
      </c>
      <c r="N2024" s="179">
        <v>4.5199999999999996</v>
      </c>
      <c r="O2024" s="179">
        <v>4.8</v>
      </c>
      <c r="P2024" s="179">
        <v>4.7</v>
      </c>
      <c r="Q2024" s="179">
        <f t="shared" si="61"/>
        <v>5.0491666666666655</v>
      </c>
      <c r="R2024" s="179" t="s">
        <v>993</v>
      </c>
    </row>
    <row r="2025" spans="1:18" x14ac:dyDescent="0.15">
      <c r="A2025" s="179" t="str">
        <f t="shared" si="60"/>
        <v>Tuxtla Gutierrex_Optimal Year Round_247.5</v>
      </c>
      <c r="B2025" s="179" t="s">
        <v>1163</v>
      </c>
      <c r="C2025" s="179">
        <v>17</v>
      </c>
      <c r="D2025" s="179">
        <v>247.5</v>
      </c>
      <c r="E2025" s="179">
        <v>4.3</v>
      </c>
      <c r="F2025" s="179">
        <v>4.75</v>
      </c>
      <c r="G2025" s="179">
        <v>5.32</v>
      </c>
      <c r="H2025" s="179">
        <v>5.21</v>
      </c>
      <c r="I2025" s="179">
        <v>5.0199999999999996</v>
      </c>
      <c r="J2025" s="179">
        <v>4.68</v>
      </c>
      <c r="K2025" s="179">
        <v>4.9400000000000004</v>
      </c>
      <c r="L2025" s="179">
        <v>4.54</v>
      </c>
      <c r="M2025" s="179">
        <v>4.13</v>
      </c>
      <c r="N2025" s="179">
        <v>4.16</v>
      </c>
      <c r="O2025" s="179">
        <v>4.42</v>
      </c>
      <c r="P2025" s="179">
        <v>4.33</v>
      </c>
      <c r="Q2025" s="179">
        <f t="shared" si="61"/>
        <v>4.6499999999999995</v>
      </c>
      <c r="R2025" s="179" t="s">
        <v>993</v>
      </c>
    </row>
    <row r="2026" spans="1:18" x14ac:dyDescent="0.15">
      <c r="A2026" s="179" t="str">
        <f t="shared" si="60"/>
        <v>Tuxtla Gutierrex_Optimal Year Round_270</v>
      </c>
      <c r="B2026" s="179" t="s">
        <v>1163</v>
      </c>
      <c r="C2026" s="179">
        <v>17</v>
      </c>
      <c r="D2026" s="179">
        <v>270</v>
      </c>
      <c r="E2026" s="179">
        <v>3.94</v>
      </c>
      <c r="F2026" s="179">
        <v>4.34</v>
      </c>
      <c r="G2026" s="179">
        <v>4.8600000000000003</v>
      </c>
      <c r="H2026" s="179">
        <v>4.76</v>
      </c>
      <c r="I2026" s="179">
        <v>4.59</v>
      </c>
      <c r="J2026" s="179">
        <v>4.28</v>
      </c>
      <c r="K2026" s="179">
        <v>4.5199999999999996</v>
      </c>
      <c r="L2026" s="179">
        <v>4.1500000000000004</v>
      </c>
      <c r="M2026" s="179">
        <v>3.78</v>
      </c>
      <c r="N2026" s="179">
        <v>3.81</v>
      </c>
      <c r="O2026" s="179">
        <v>4.04</v>
      </c>
      <c r="P2026" s="179">
        <v>3.96</v>
      </c>
      <c r="Q2026" s="179">
        <f t="shared" si="61"/>
        <v>4.2525000000000004</v>
      </c>
      <c r="R2026" s="179" t="s">
        <v>993</v>
      </c>
    </row>
    <row r="2027" spans="1:18" x14ac:dyDescent="0.15">
      <c r="A2027" s="179" t="str">
        <f t="shared" si="60"/>
        <v>Uraupan de Progreso_Flat Surface_90</v>
      </c>
      <c r="B2027" s="179" t="s">
        <v>1164</v>
      </c>
      <c r="C2027" s="179">
        <v>0</v>
      </c>
      <c r="D2027" s="179">
        <v>90</v>
      </c>
      <c r="E2027" s="179">
        <v>4.88</v>
      </c>
      <c r="F2027" s="179">
        <v>5.85</v>
      </c>
      <c r="G2027" s="179">
        <v>6.9</v>
      </c>
      <c r="H2027" s="179">
        <v>7.11</v>
      </c>
      <c r="I2027" s="179">
        <v>6.85</v>
      </c>
      <c r="J2027" s="179">
        <v>5.81</v>
      </c>
      <c r="K2027" s="179">
        <v>5.37</v>
      </c>
      <c r="L2027" s="179">
        <v>5.19</v>
      </c>
      <c r="M2027" s="179">
        <v>4.88</v>
      </c>
      <c r="N2027" s="179">
        <v>5.0199999999999996</v>
      </c>
      <c r="O2027" s="179">
        <v>5.0999999999999996</v>
      </c>
      <c r="P2027" s="179">
        <v>4.5199999999999996</v>
      </c>
      <c r="Q2027" s="179">
        <f t="shared" si="61"/>
        <v>5.623333333333334</v>
      </c>
      <c r="R2027" s="179" t="s">
        <v>994</v>
      </c>
    </row>
    <row r="2028" spans="1:18" x14ac:dyDescent="0.15">
      <c r="A2028" s="179" t="str">
        <f t="shared" si="60"/>
        <v>Uraupan de Progreso_Flat Surface_112.5</v>
      </c>
      <c r="B2028" s="179" t="s">
        <v>1164</v>
      </c>
      <c r="C2028" s="179">
        <v>0</v>
      </c>
      <c r="D2028" s="179">
        <v>112.5</v>
      </c>
      <c r="E2028" s="179">
        <v>4.88</v>
      </c>
      <c r="F2028" s="179">
        <v>5.85</v>
      </c>
      <c r="G2028" s="179">
        <v>6.9</v>
      </c>
      <c r="H2028" s="179">
        <v>7.11</v>
      </c>
      <c r="I2028" s="179">
        <v>6.85</v>
      </c>
      <c r="J2028" s="179">
        <v>5.81</v>
      </c>
      <c r="K2028" s="179">
        <v>5.37</v>
      </c>
      <c r="L2028" s="179">
        <v>5.19</v>
      </c>
      <c r="M2028" s="179">
        <v>4.88</v>
      </c>
      <c r="N2028" s="179">
        <v>5.0199999999999996</v>
      </c>
      <c r="O2028" s="179">
        <v>5.0999999999999996</v>
      </c>
      <c r="P2028" s="179">
        <v>4.5199999999999996</v>
      </c>
      <c r="Q2028" s="179">
        <f t="shared" si="61"/>
        <v>5.623333333333334</v>
      </c>
      <c r="R2028" s="179" t="s">
        <v>994</v>
      </c>
    </row>
    <row r="2029" spans="1:18" x14ac:dyDescent="0.15">
      <c r="A2029" s="179" t="str">
        <f t="shared" si="60"/>
        <v>Uraupan de Progreso_Flat Surface_135</v>
      </c>
      <c r="B2029" s="179" t="s">
        <v>1164</v>
      </c>
      <c r="C2029" s="179">
        <v>0</v>
      </c>
      <c r="D2029" s="179">
        <v>135</v>
      </c>
      <c r="E2029" s="179">
        <v>4.88</v>
      </c>
      <c r="F2029" s="179">
        <v>5.85</v>
      </c>
      <c r="G2029" s="179">
        <v>6.9</v>
      </c>
      <c r="H2029" s="179">
        <v>7.11</v>
      </c>
      <c r="I2029" s="179">
        <v>6.85</v>
      </c>
      <c r="J2029" s="179">
        <v>5.81</v>
      </c>
      <c r="K2029" s="179">
        <v>5.37</v>
      </c>
      <c r="L2029" s="179">
        <v>5.19</v>
      </c>
      <c r="M2029" s="179">
        <v>4.88</v>
      </c>
      <c r="N2029" s="179">
        <v>5.0199999999999996</v>
      </c>
      <c r="O2029" s="179">
        <v>5.0999999999999996</v>
      </c>
      <c r="P2029" s="179">
        <v>4.5199999999999996</v>
      </c>
      <c r="Q2029" s="179">
        <f t="shared" si="61"/>
        <v>5.623333333333334</v>
      </c>
      <c r="R2029" s="179" t="s">
        <v>994</v>
      </c>
    </row>
    <row r="2030" spans="1:18" x14ac:dyDescent="0.15">
      <c r="A2030" s="179" t="str">
        <f t="shared" si="60"/>
        <v>Uraupan de Progreso_Flat Surface_157.5</v>
      </c>
      <c r="B2030" s="179" t="s">
        <v>1164</v>
      </c>
      <c r="C2030" s="179">
        <v>0</v>
      </c>
      <c r="D2030" s="179">
        <v>157.5</v>
      </c>
      <c r="E2030" s="179">
        <v>4.88</v>
      </c>
      <c r="F2030" s="179">
        <v>5.85</v>
      </c>
      <c r="G2030" s="179">
        <v>6.9</v>
      </c>
      <c r="H2030" s="179">
        <v>7.11</v>
      </c>
      <c r="I2030" s="179">
        <v>6.85</v>
      </c>
      <c r="J2030" s="179">
        <v>5.81</v>
      </c>
      <c r="K2030" s="179">
        <v>5.37</v>
      </c>
      <c r="L2030" s="179">
        <v>5.19</v>
      </c>
      <c r="M2030" s="179">
        <v>4.88</v>
      </c>
      <c r="N2030" s="179">
        <v>5.0199999999999996</v>
      </c>
      <c r="O2030" s="179">
        <v>5.0999999999999996</v>
      </c>
      <c r="P2030" s="179">
        <v>4.5199999999999996</v>
      </c>
      <c r="Q2030" s="179">
        <f t="shared" si="61"/>
        <v>5.623333333333334</v>
      </c>
      <c r="R2030" s="179" t="s">
        <v>994</v>
      </c>
    </row>
    <row r="2031" spans="1:18" x14ac:dyDescent="0.15">
      <c r="A2031" s="179" t="str">
        <f t="shared" si="60"/>
        <v>Uraupan de Progreso_Flat Surface_180</v>
      </c>
      <c r="B2031" s="179" t="s">
        <v>1164</v>
      </c>
      <c r="C2031" s="179">
        <v>0</v>
      </c>
      <c r="D2031" s="179">
        <v>180</v>
      </c>
      <c r="E2031" s="179">
        <v>4.88</v>
      </c>
      <c r="F2031" s="179">
        <v>5.85</v>
      </c>
      <c r="G2031" s="179">
        <v>6.9</v>
      </c>
      <c r="H2031" s="179">
        <v>7.11</v>
      </c>
      <c r="I2031" s="179">
        <v>6.85</v>
      </c>
      <c r="J2031" s="179">
        <v>5.81</v>
      </c>
      <c r="K2031" s="179">
        <v>5.37</v>
      </c>
      <c r="L2031" s="179">
        <v>5.19</v>
      </c>
      <c r="M2031" s="179">
        <v>4.88</v>
      </c>
      <c r="N2031" s="179">
        <v>5.0199999999999996</v>
      </c>
      <c r="O2031" s="179">
        <v>5.0999999999999996</v>
      </c>
      <c r="P2031" s="179">
        <v>4.5199999999999996</v>
      </c>
      <c r="Q2031" s="179">
        <f t="shared" si="61"/>
        <v>5.623333333333334</v>
      </c>
      <c r="R2031" s="179" t="s">
        <v>994</v>
      </c>
    </row>
    <row r="2032" spans="1:18" x14ac:dyDescent="0.15">
      <c r="A2032" s="179" t="str">
        <f t="shared" si="60"/>
        <v>Uraupan de Progreso_Flat Surface_202.5</v>
      </c>
      <c r="B2032" s="179" t="s">
        <v>1164</v>
      </c>
      <c r="C2032" s="179">
        <v>0</v>
      </c>
      <c r="D2032" s="179">
        <v>202.5</v>
      </c>
      <c r="E2032" s="179">
        <v>4.88</v>
      </c>
      <c r="F2032" s="179">
        <v>5.85</v>
      </c>
      <c r="G2032" s="179">
        <v>6.9</v>
      </c>
      <c r="H2032" s="179">
        <v>7.11</v>
      </c>
      <c r="I2032" s="179">
        <v>6.85</v>
      </c>
      <c r="J2032" s="179">
        <v>5.81</v>
      </c>
      <c r="K2032" s="179">
        <v>5.37</v>
      </c>
      <c r="L2032" s="179">
        <v>5.19</v>
      </c>
      <c r="M2032" s="179">
        <v>4.88</v>
      </c>
      <c r="N2032" s="179">
        <v>5.0199999999999996</v>
      </c>
      <c r="O2032" s="179">
        <v>5.0999999999999996</v>
      </c>
      <c r="P2032" s="179">
        <v>4.5199999999999996</v>
      </c>
      <c r="Q2032" s="179">
        <f t="shared" si="61"/>
        <v>5.623333333333334</v>
      </c>
      <c r="R2032" s="179" t="s">
        <v>994</v>
      </c>
    </row>
    <row r="2033" spans="1:18" x14ac:dyDescent="0.15">
      <c r="A2033" s="179" t="str">
        <f t="shared" si="60"/>
        <v>Uraupan de Progreso_Flat Surface_225</v>
      </c>
      <c r="B2033" s="179" t="s">
        <v>1164</v>
      </c>
      <c r="C2033" s="179">
        <v>0</v>
      </c>
      <c r="D2033" s="179">
        <v>225</v>
      </c>
      <c r="E2033" s="179">
        <v>4.88</v>
      </c>
      <c r="F2033" s="179">
        <v>5.85</v>
      </c>
      <c r="G2033" s="179">
        <v>6.9</v>
      </c>
      <c r="H2033" s="179">
        <v>7.11</v>
      </c>
      <c r="I2033" s="179">
        <v>6.85</v>
      </c>
      <c r="J2033" s="179">
        <v>5.81</v>
      </c>
      <c r="K2033" s="179">
        <v>5.37</v>
      </c>
      <c r="L2033" s="179">
        <v>5.19</v>
      </c>
      <c r="M2033" s="179">
        <v>4.88</v>
      </c>
      <c r="N2033" s="179">
        <v>5.0199999999999996</v>
      </c>
      <c r="O2033" s="179">
        <v>5.0999999999999996</v>
      </c>
      <c r="P2033" s="179">
        <v>4.5199999999999996</v>
      </c>
      <c r="Q2033" s="179">
        <f t="shared" si="61"/>
        <v>5.623333333333334</v>
      </c>
      <c r="R2033" s="179" t="s">
        <v>994</v>
      </c>
    </row>
    <row r="2034" spans="1:18" x14ac:dyDescent="0.15">
      <c r="A2034" s="179" t="str">
        <f t="shared" si="60"/>
        <v>Uraupan de Progreso_Flat Surface_247.5</v>
      </c>
      <c r="B2034" s="179" t="s">
        <v>1164</v>
      </c>
      <c r="C2034" s="179">
        <v>0</v>
      </c>
      <c r="D2034" s="179">
        <v>247.5</v>
      </c>
      <c r="E2034" s="179">
        <v>4.88</v>
      </c>
      <c r="F2034" s="179">
        <v>5.85</v>
      </c>
      <c r="G2034" s="179">
        <v>6.9</v>
      </c>
      <c r="H2034" s="179">
        <v>7.11</v>
      </c>
      <c r="I2034" s="179">
        <v>6.85</v>
      </c>
      <c r="J2034" s="179">
        <v>5.81</v>
      </c>
      <c r="K2034" s="179">
        <v>5.37</v>
      </c>
      <c r="L2034" s="179">
        <v>5.19</v>
      </c>
      <c r="M2034" s="179">
        <v>4.88</v>
      </c>
      <c r="N2034" s="179">
        <v>5.0199999999999996</v>
      </c>
      <c r="O2034" s="179">
        <v>5.0999999999999996</v>
      </c>
      <c r="P2034" s="179">
        <v>4.5199999999999996</v>
      </c>
      <c r="Q2034" s="179">
        <f t="shared" si="61"/>
        <v>5.623333333333334</v>
      </c>
      <c r="R2034" s="179" t="s">
        <v>994</v>
      </c>
    </row>
    <row r="2035" spans="1:18" x14ac:dyDescent="0.15">
      <c r="A2035" s="179" t="str">
        <f t="shared" si="60"/>
        <v>Uraupan de Progreso_Flat Surface_270</v>
      </c>
      <c r="B2035" s="179" t="s">
        <v>1164</v>
      </c>
      <c r="C2035" s="179">
        <v>0</v>
      </c>
      <c r="D2035" s="179">
        <v>270</v>
      </c>
      <c r="E2035" s="179">
        <v>4.88</v>
      </c>
      <c r="F2035" s="179">
        <v>5.85</v>
      </c>
      <c r="G2035" s="179">
        <v>6.9</v>
      </c>
      <c r="H2035" s="179">
        <v>7.11</v>
      </c>
      <c r="I2035" s="179">
        <v>6.85</v>
      </c>
      <c r="J2035" s="179">
        <v>5.81</v>
      </c>
      <c r="K2035" s="179">
        <v>5.37</v>
      </c>
      <c r="L2035" s="179">
        <v>5.19</v>
      </c>
      <c r="M2035" s="179">
        <v>4.88</v>
      </c>
      <c r="N2035" s="179">
        <v>5.0199999999999996</v>
      </c>
      <c r="O2035" s="179">
        <v>5.0999999999999996</v>
      </c>
      <c r="P2035" s="179">
        <v>4.5199999999999996</v>
      </c>
      <c r="Q2035" s="179">
        <f t="shared" si="61"/>
        <v>5.623333333333334</v>
      </c>
      <c r="R2035" s="179" t="s">
        <v>994</v>
      </c>
    </row>
    <row r="2036" spans="1:18" x14ac:dyDescent="0.15">
      <c r="A2036" s="179" t="str">
        <f t="shared" si="60"/>
        <v>Uraupan de Progreso_Optimal Summer_90</v>
      </c>
      <c r="B2036" s="179" t="s">
        <v>1164</v>
      </c>
      <c r="C2036" s="179">
        <v>4</v>
      </c>
      <c r="D2036" s="179">
        <v>90</v>
      </c>
      <c r="E2036" s="179">
        <v>4.12</v>
      </c>
      <c r="F2036" s="179">
        <v>4.8600000000000003</v>
      </c>
      <c r="G2036" s="179">
        <v>5.64</v>
      </c>
      <c r="H2036" s="179">
        <v>5.71</v>
      </c>
      <c r="I2036" s="179">
        <v>5.43</v>
      </c>
      <c r="J2036" s="179">
        <v>4.68</v>
      </c>
      <c r="K2036" s="179">
        <v>4.32</v>
      </c>
      <c r="L2036" s="179">
        <v>4.1500000000000004</v>
      </c>
      <c r="M2036" s="179">
        <v>3.94</v>
      </c>
      <c r="N2036" s="179">
        <v>4.13</v>
      </c>
      <c r="O2036" s="179">
        <v>4.29</v>
      </c>
      <c r="P2036" s="179">
        <v>3.82</v>
      </c>
      <c r="Q2036" s="179">
        <f t="shared" si="61"/>
        <v>4.5908333333333333</v>
      </c>
      <c r="R2036" s="179" t="s">
        <v>958</v>
      </c>
    </row>
    <row r="2037" spans="1:18" x14ac:dyDescent="0.15">
      <c r="A2037" s="179" t="str">
        <f t="shared" si="60"/>
        <v>Uraupan de Progreso_Optimal Summer_112.5</v>
      </c>
      <c r="B2037" s="179" t="s">
        <v>1164</v>
      </c>
      <c r="C2037" s="179">
        <v>4</v>
      </c>
      <c r="D2037" s="179">
        <v>112.5</v>
      </c>
      <c r="E2037" s="179">
        <v>4.51</v>
      </c>
      <c r="F2037" s="179">
        <v>5.32</v>
      </c>
      <c r="G2037" s="179">
        <v>6.17</v>
      </c>
      <c r="H2037" s="179">
        <v>6.25</v>
      </c>
      <c r="I2037" s="179">
        <v>5.94</v>
      </c>
      <c r="J2037" s="179">
        <v>5.12</v>
      </c>
      <c r="K2037" s="179">
        <v>4.72</v>
      </c>
      <c r="L2037" s="179">
        <v>4.54</v>
      </c>
      <c r="M2037" s="179">
        <v>4.3099999999999996</v>
      </c>
      <c r="N2037" s="179">
        <v>4.5199999999999996</v>
      </c>
      <c r="O2037" s="179">
        <v>4.6900000000000004</v>
      </c>
      <c r="P2037" s="179">
        <v>4.18</v>
      </c>
      <c r="Q2037" s="179">
        <f t="shared" si="61"/>
        <v>5.0225</v>
      </c>
      <c r="R2037" s="179" t="s">
        <v>958</v>
      </c>
    </row>
    <row r="2038" spans="1:18" x14ac:dyDescent="0.15">
      <c r="A2038" s="179" t="str">
        <f t="shared" si="60"/>
        <v>Uraupan de Progreso_Optimal Summer_135</v>
      </c>
      <c r="B2038" s="179" t="s">
        <v>1164</v>
      </c>
      <c r="C2038" s="179">
        <v>4</v>
      </c>
      <c r="D2038" s="179">
        <v>135</v>
      </c>
      <c r="E2038" s="179">
        <v>4.8899999999999997</v>
      </c>
      <c r="F2038" s="179">
        <v>5.78</v>
      </c>
      <c r="G2038" s="179">
        <v>6.7</v>
      </c>
      <c r="H2038" s="179">
        <v>6.78</v>
      </c>
      <c r="I2038" s="179">
        <v>6.45</v>
      </c>
      <c r="J2038" s="179">
        <v>5.56</v>
      </c>
      <c r="K2038" s="179">
        <v>5.13</v>
      </c>
      <c r="L2038" s="179">
        <v>4.93</v>
      </c>
      <c r="M2038" s="179">
        <v>4.68</v>
      </c>
      <c r="N2038" s="179">
        <v>4.9000000000000004</v>
      </c>
      <c r="O2038" s="179">
        <v>5.09</v>
      </c>
      <c r="P2038" s="179">
        <v>4.54</v>
      </c>
      <c r="Q2038" s="179">
        <f t="shared" si="61"/>
        <v>5.4525000000000006</v>
      </c>
      <c r="R2038" s="179" t="s">
        <v>958</v>
      </c>
    </row>
    <row r="2039" spans="1:18" x14ac:dyDescent="0.15">
      <c r="A2039" s="179" t="str">
        <f t="shared" si="60"/>
        <v>Uraupan de Progreso_Optimal Summer_157.5</v>
      </c>
      <c r="B2039" s="179" t="s">
        <v>1164</v>
      </c>
      <c r="C2039" s="179">
        <v>4</v>
      </c>
      <c r="D2039" s="179">
        <v>157.5</v>
      </c>
      <c r="E2039" s="179">
        <v>5.0199999999999996</v>
      </c>
      <c r="F2039" s="179">
        <v>5.93</v>
      </c>
      <c r="G2039" s="179">
        <v>6.87</v>
      </c>
      <c r="H2039" s="179">
        <v>6.96</v>
      </c>
      <c r="I2039" s="179">
        <v>6.62</v>
      </c>
      <c r="J2039" s="179">
        <v>5.7</v>
      </c>
      <c r="K2039" s="179">
        <v>5.26</v>
      </c>
      <c r="L2039" s="179">
        <v>5.0599999999999996</v>
      </c>
      <c r="M2039" s="179">
        <v>4.8099999999999996</v>
      </c>
      <c r="N2039" s="179">
        <v>5.03</v>
      </c>
      <c r="O2039" s="179">
        <v>5.23</v>
      </c>
      <c r="P2039" s="179">
        <v>4.66</v>
      </c>
      <c r="Q2039" s="179">
        <f t="shared" si="61"/>
        <v>5.5958333333333341</v>
      </c>
      <c r="R2039" s="179" t="s">
        <v>958</v>
      </c>
    </row>
    <row r="2040" spans="1:18" x14ac:dyDescent="0.15">
      <c r="A2040" s="179" t="str">
        <f t="shared" si="60"/>
        <v>Uraupan de Progreso_Optimal Summer_180</v>
      </c>
      <c r="B2040" s="179" t="s">
        <v>1164</v>
      </c>
      <c r="C2040" s="179">
        <v>4</v>
      </c>
      <c r="D2040" s="179">
        <v>180</v>
      </c>
      <c r="E2040" s="179">
        <v>5.15</v>
      </c>
      <c r="F2040" s="179">
        <v>6.08</v>
      </c>
      <c r="G2040" s="179">
        <v>7.05</v>
      </c>
      <c r="H2040" s="179">
        <v>7.14</v>
      </c>
      <c r="I2040" s="179">
        <v>6.79</v>
      </c>
      <c r="J2040" s="179">
        <v>5.85</v>
      </c>
      <c r="K2040" s="179">
        <v>5.4</v>
      </c>
      <c r="L2040" s="179">
        <v>5.19</v>
      </c>
      <c r="M2040" s="179">
        <v>4.93</v>
      </c>
      <c r="N2040" s="179">
        <v>5.16</v>
      </c>
      <c r="O2040" s="179">
        <v>5.36</v>
      </c>
      <c r="P2040" s="179">
        <v>4.78</v>
      </c>
      <c r="Q2040" s="179">
        <f t="shared" si="61"/>
        <v>5.7399999999999993</v>
      </c>
      <c r="R2040" s="179" t="s">
        <v>958</v>
      </c>
    </row>
    <row r="2041" spans="1:18" x14ac:dyDescent="0.15">
      <c r="A2041" s="179" t="str">
        <f t="shared" si="60"/>
        <v>Uraupan de Progreso_Optimal Summer_202.5</v>
      </c>
      <c r="B2041" s="179" t="s">
        <v>1164</v>
      </c>
      <c r="C2041" s="179">
        <v>4</v>
      </c>
      <c r="D2041" s="179">
        <v>202.5</v>
      </c>
      <c r="E2041" s="179">
        <v>5.0199999999999996</v>
      </c>
      <c r="F2041" s="179">
        <v>5.93</v>
      </c>
      <c r="G2041" s="179">
        <v>6.87</v>
      </c>
      <c r="H2041" s="179">
        <v>6.96</v>
      </c>
      <c r="I2041" s="179">
        <v>6.62</v>
      </c>
      <c r="J2041" s="179">
        <v>5.7</v>
      </c>
      <c r="K2041" s="179">
        <v>5.26</v>
      </c>
      <c r="L2041" s="179">
        <v>5.0599999999999996</v>
      </c>
      <c r="M2041" s="179">
        <v>4.8099999999999996</v>
      </c>
      <c r="N2041" s="179">
        <v>5.03</v>
      </c>
      <c r="O2041" s="179">
        <v>5.23</v>
      </c>
      <c r="P2041" s="179">
        <v>4.66</v>
      </c>
      <c r="Q2041" s="179">
        <f t="shared" si="61"/>
        <v>5.5958333333333341</v>
      </c>
      <c r="R2041" s="179" t="s">
        <v>958</v>
      </c>
    </row>
    <row r="2042" spans="1:18" x14ac:dyDescent="0.15">
      <c r="A2042" s="179" t="str">
        <f t="shared" si="60"/>
        <v>Uraupan de Progreso_Optimal Summer_225</v>
      </c>
      <c r="B2042" s="179" t="s">
        <v>1164</v>
      </c>
      <c r="C2042" s="179">
        <v>4</v>
      </c>
      <c r="D2042" s="179">
        <v>225</v>
      </c>
      <c r="E2042" s="179">
        <v>4.8899999999999997</v>
      </c>
      <c r="F2042" s="179">
        <v>5.78</v>
      </c>
      <c r="G2042" s="179">
        <v>6.7</v>
      </c>
      <c r="H2042" s="179">
        <v>6.78</v>
      </c>
      <c r="I2042" s="179">
        <v>6.45</v>
      </c>
      <c r="J2042" s="179">
        <v>5.56</v>
      </c>
      <c r="K2042" s="179">
        <v>5.13</v>
      </c>
      <c r="L2042" s="179">
        <v>4.93</v>
      </c>
      <c r="M2042" s="179">
        <v>4.68</v>
      </c>
      <c r="N2042" s="179">
        <v>4.9000000000000004</v>
      </c>
      <c r="O2042" s="179">
        <v>5.09</v>
      </c>
      <c r="P2042" s="179">
        <v>4.54</v>
      </c>
      <c r="Q2042" s="179">
        <f t="shared" si="61"/>
        <v>5.4525000000000006</v>
      </c>
      <c r="R2042" s="179" t="s">
        <v>958</v>
      </c>
    </row>
    <row r="2043" spans="1:18" x14ac:dyDescent="0.15">
      <c r="A2043" s="179" t="str">
        <f t="shared" si="60"/>
        <v>Uraupan de Progreso_Optimal Summer_247.5</v>
      </c>
      <c r="B2043" s="179" t="s">
        <v>1164</v>
      </c>
      <c r="C2043" s="179">
        <v>4</v>
      </c>
      <c r="D2043" s="179">
        <v>247.5</v>
      </c>
      <c r="E2043" s="179">
        <v>4.51</v>
      </c>
      <c r="F2043" s="179">
        <v>5.32</v>
      </c>
      <c r="G2043" s="179">
        <v>6.17</v>
      </c>
      <c r="H2043" s="179">
        <v>6.25</v>
      </c>
      <c r="I2043" s="179">
        <v>5.94</v>
      </c>
      <c r="J2043" s="179">
        <v>5.12</v>
      </c>
      <c r="K2043" s="179">
        <v>4.72</v>
      </c>
      <c r="L2043" s="179">
        <v>4.54</v>
      </c>
      <c r="M2043" s="179">
        <v>4.3099999999999996</v>
      </c>
      <c r="N2043" s="179">
        <v>4.5199999999999996</v>
      </c>
      <c r="O2043" s="179">
        <v>4.6900000000000004</v>
      </c>
      <c r="P2043" s="179">
        <v>4.18</v>
      </c>
      <c r="Q2043" s="179">
        <f t="shared" si="61"/>
        <v>5.0225</v>
      </c>
      <c r="R2043" s="179" t="s">
        <v>958</v>
      </c>
    </row>
    <row r="2044" spans="1:18" x14ac:dyDescent="0.15">
      <c r="A2044" s="179" t="str">
        <f t="shared" si="60"/>
        <v>Uraupan de Progreso_Optimal Summer_270</v>
      </c>
      <c r="B2044" s="179" t="s">
        <v>1164</v>
      </c>
      <c r="C2044" s="179">
        <v>4</v>
      </c>
      <c r="D2044" s="179">
        <v>270</v>
      </c>
      <c r="E2044" s="179">
        <v>4.12</v>
      </c>
      <c r="F2044" s="179">
        <v>4.8600000000000003</v>
      </c>
      <c r="G2044" s="179">
        <v>5.64</v>
      </c>
      <c r="H2044" s="179">
        <v>5.71</v>
      </c>
      <c r="I2044" s="179">
        <v>5.43</v>
      </c>
      <c r="J2044" s="179">
        <v>4.68</v>
      </c>
      <c r="K2044" s="179">
        <v>4.32</v>
      </c>
      <c r="L2044" s="179">
        <v>4.1500000000000004</v>
      </c>
      <c r="M2044" s="179">
        <v>3.94</v>
      </c>
      <c r="N2044" s="179">
        <v>4.13</v>
      </c>
      <c r="O2044" s="179">
        <v>4.29</v>
      </c>
      <c r="P2044" s="179">
        <v>3.82</v>
      </c>
      <c r="Q2044" s="179">
        <f t="shared" si="61"/>
        <v>4.5908333333333333</v>
      </c>
      <c r="R2044" s="179" t="s">
        <v>958</v>
      </c>
    </row>
    <row r="2045" spans="1:18" x14ac:dyDescent="0.15">
      <c r="A2045" s="179" t="str">
        <f t="shared" si="60"/>
        <v>Uraupan de Progreso_Optimal Year Round_90</v>
      </c>
      <c r="B2045" s="179" t="s">
        <v>1164</v>
      </c>
      <c r="C2045" s="179">
        <v>19</v>
      </c>
      <c r="D2045" s="179">
        <v>90</v>
      </c>
      <c r="E2045" s="179">
        <v>4.78</v>
      </c>
      <c r="F2045" s="179">
        <v>5.38</v>
      </c>
      <c r="G2045" s="179">
        <v>5.89</v>
      </c>
      <c r="H2045" s="179">
        <v>5.61</v>
      </c>
      <c r="I2045" s="179">
        <v>5.08</v>
      </c>
      <c r="J2045" s="179">
        <v>4.67</v>
      </c>
      <c r="K2045" s="179">
        <v>4.2699999999999996</v>
      </c>
      <c r="L2045" s="179">
        <v>4.0199999999999996</v>
      </c>
      <c r="M2045" s="179">
        <v>3.98</v>
      </c>
      <c r="N2045" s="179">
        <v>4.41</v>
      </c>
      <c r="O2045" s="179">
        <v>4.91</v>
      </c>
      <c r="P2045" s="179">
        <v>4.4400000000000004</v>
      </c>
      <c r="Q2045" s="179">
        <f t="shared" si="61"/>
        <v>4.7866666666666662</v>
      </c>
      <c r="R2045" s="179" t="s">
        <v>993</v>
      </c>
    </row>
    <row r="2046" spans="1:18" x14ac:dyDescent="0.15">
      <c r="A2046" s="179" t="str">
        <f t="shared" si="60"/>
        <v>Uraupan de Progreso_Optimal Year Round_112.5</v>
      </c>
      <c r="B2046" s="179" t="s">
        <v>1164</v>
      </c>
      <c r="C2046" s="179">
        <v>19</v>
      </c>
      <c r="D2046" s="179">
        <v>112.5</v>
      </c>
      <c r="E2046" s="179">
        <v>5.23</v>
      </c>
      <c r="F2046" s="179">
        <v>5.89</v>
      </c>
      <c r="G2046" s="179">
        <v>6.44</v>
      </c>
      <c r="H2046" s="179">
        <v>6.13</v>
      </c>
      <c r="I2046" s="179">
        <v>5.56</v>
      </c>
      <c r="J2046" s="179">
        <v>5.1100000000000003</v>
      </c>
      <c r="K2046" s="179">
        <v>4.67</v>
      </c>
      <c r="L2046" s="179">
        <v>4.3899999999999997</v>
      </c>
      <c r="M2046" s="179">
        <v>4.3499999999999996</v>
      </c>
      <c r="N2046" s="179">
        <v>4.82</v>
      </c>
      <c r="O2046" s="179">
        <v>5.37</v>
      </c>
      <c r="P2046" s="179">
        <v>4.8600000000000003</v>
      </c>
      <c r="Q2046" s="179">
        <f t="shared" si="61"/>
        <v>5.2350000000000003</v>
      </c>
      <c r="R2046" s="179" t="s">
        <v>993</v>
      </c>
    </row>
    <row r="2047" spans="1:18" x14ac:dyDescent="0.15">
      <c r="A2047" s="179" t="str">
        <f t="shared" si="60"/>
        <v>Uraupan de Progreso_Optimal Year Round_135</v>
      </c>
      <c r="B2047" s="179" t="s">
        <v>1164</v>
      </c>
      <c r="C2047" s="179">
        <v>19</v>
      </c>
      <c r="D2047" s="179">
        <v>135</v>
      </c>
      <c r="E2047" s="179">
        <v>5.68</v>
      </c>
      <c r="F2047" s="179">
        <v>6.39</v>
      </c>
      <c r="G2047" s="179">
        <v>6.99</v>
      </c>
      <c r="H2047" s="179">
        <v>6.66</v>
      </c>
      <c r="I2047" s="179">
        <v>6.03</v>
      </c>
      <c r="J2047" s="179">
        <v>5.55</v>
      </c>
      <c r="K2047" s="179">
        <v>5.07</v>
      </c>
      <c r="L2047" s="179">
        <v>4.7699999999999996</v>
      </c>
      <c r="M2047" s="179">
        <v>4.72</v>
      </c>
      <c r="N2047" s="179">
        <v>5.23</v>
      </c>
      <c r="O2047" s="179">
        <v>5.83</v>
      </c>
      <c r="P2047" s="179">
        <v>5.27</v>
      </c>
      <c r="Q2047" s="179">
        <f t="shared" si="61"/>
        <v>5.6825000000000001</v>
      </c>
      <c r="R2047" s="179" t="s">
        <v>993</v>
      </c>
    </row>
    <row r="2048" spans="1:18" x14ac:dyDescent="0.15">
      <c r="A2048" s="179" t="str">
        <f t="shared" si="60"/>
        <v>Uraupan de Progreso_Optimal Year Round_157.5</v>
      </c>
      <c r="B2048" s="179" t="s">
        <v>1164</v>
      </c>
      <c r="C2048" s="179">
        <v>19</v>
      </c>
      <c r="D2048" s="179">
        <v>157.5</v>
      </c>
      <c r="E2048" s="179">
        <v>5.83</v>
      </c>
      <c r="F2048" s="179">
        <v>6.56</v>
      </c>
      <c r="G2048" s="179">
        <v>7.18</v>
      </c>
      <c r="H2048" s="179">
        <v>6.83</v>
      </c>
      <c r="I2048" s="179">
        <v>6.19</v>
      </c>
      <c r="J2048" s="179">
        <v>5.69</v>
      </c>
      <c r="K2048" s="179">
        <v>5.21</v>
      </c>
      <c r="L2048" s="179">
        <v>4.8899999999999997</v>
      </c>
      <c r="M2048" s="179">
        <v>4.8499999999999996</v>
      </c>
      <c r="N2048" s="179">
        <v>5.37</v>
      </c>
      <c r="O2048" s="179">
        <v>5.99</v>
      </c>
      <c r="P2048" s="179">
        <v>5.41</v>
      </c>
      <c r="Q2048" s="179">
        <f t="shared" si="61"/>
        <v>5.8333333333333321</v>
      </c>
      <c r="R2048" s="179" t="s">
        <v>993</v>
      </c>
    </row>
    <row r="2049" spans="1:18" x14ac:dyDescent="0.15">
      <c r="A2049" s="179" t="str">
        <f t="shared" si="60"/>
        <v>Uraupan de Progreso_Optimal Year Round_180</v>
      </c>
      <c r="B2049" s="179" t="s">
        <v>1164</v>
      </c>
      <c r="C2049" s="179">
        <v>19</v>
      </c>
      <c r="D2049" s="179">
        <v>180</v>
      </c>
      <c r="E2049" s="179">
        <v>5.98</v>
      </c>
      <c r="F2049" s="179">
        <v>6.73</v>
      </c>
      <c r="G2049" s="179">
        <v>7.36</v>
      </c>
      <c r="H2049" s="179">
        <v>7.01</v>
      </c>
      <c r="I2049" s="179">
        <v>6.35</v>
      </c>
      <c r="J2049" s="179">
        <v>5.84</v>
      </c>
      <c r="K2049" s="179">
        <v>5.34</v>
      </c>
      <c r="L2049" s="179">
        <v>5.0199999999999996</v>
      </c>
      <c r="M2049" s="179">
        <v>4.97</v>
      </c>
      <c r="N2049" s="179">
        <v>5.51</v>
      </c>
      <c r="O2049" s="179">
        <v>6.14</v>
      </c>
      <c r="P2049" s="179">
        <v>5.55</v>
      </c>
      <c r="Q2049" s="179">
        <f t="shared" si="61"/>
        <v>5.9833333333333316</v>
      </c>
      <c r="R2049" s="179" t="s">
        <v>993</v>
      </c>
    </row>
    <row r="2050" spans="1:18" x14ac:dyDescent="0.15">
      <c r="A2050" s="179" t="str">
        <f t="shared" ref="A2050:A2113" si="62">B2050&amp;"_"&amp;R2050&amp;"_"&amp;D2050</f>
        <v>Uraupan de Progreso_Optimal Year Round_202.5</v>
      </c>
      <c r="B2050" s="179" t="s">
        <v>1164</v>
      </c>
      <c r="C2050" s="179">
        <v>19</v>
      </c>
      <c r="D2050" s="179">
        <v>202.5</v>
      </c>
      <c r="E2050" s="179">
        <v>5.83</v>
      </c>
      <c r="F2050" s="179">
        <v>6.56</v>
      </c>
      <c r="G2050" s="179">
        <v>7.18</v>
      </c>
      <c r="H2050" s="179">
        <v>6.83</v>
      </c>
      <c r="I2050" s="179">
        <v>6.19</v>
      </c>
      <c r="J2050" s="179">
        <v>5.69</v>
      </c>
      <c r="K2050" s="179">
        <v>5.21</v>
      </c>
      <c r="L2050" s="179">
        <v>4.8899999999999997</v>
      </c>
      <c r="M2050" s="179">
        <v>4.8499999999999996</v>
      </c>
      <c r="N2050" s="179">
        <v>5.37</v>
      </c>
      <c r="O2050" s="179">
        <v>5.99</v>
      </c>
      <c r="P2050" s="179">
        <v>5.41</v>
      </c>
      <c r="Q2050" s="179">
        <f t="shared" ref="Q2050:Q2113" si="63">AVERAGE(E2050:P2050)</f>
        <v>5.8333333333333321</v>
      </c>
      <c r="R2050" s="179" t="s">
        <v>993</v>
      </c>
    </row>
    <row r="2051" spans="1:18" x14ac:dyDescent="0.15">
      <c r="A2051" s="179" t="str">
        <f t="shared" si="62"/>
        <v>Uraupan de Progreso_Optimal Year Round_225</v>
      </c>
      <c r="B2051" s="179" t="s">
        <v>1164</v>
      </c>
      <c r="C2051" s="179">
        <v>19</v>
      </c>
      <c r="D2051" s="179">
        <v>225</v>
      </c>
      <c r="E2051" s="179">
        <v>5.68</v>
      </c>
      <c r="F2051" s="179">
        <v>6.39</v>
      </c>
      <c r="G2051" s="179">
        <v>6.99</v>
      </c>
      <c r="H2051" s="179">
        <v>6.66</v>
      </c>
      <c r="I2051" s="179">
        <v>6.03</v>
      </c>
      <c r="J2051" s="179">
        <v>5.55</v>
      </c>
      <c r="K2051" s="179">
        <v>5.07</v>
      </c>
      <c r="L2051" s="179">
        <v>4.7699999999999996</v>
      </c>
      <c r="M2051" s="179">
        <v>4.72</v>
      </c>
      <c r="N2051" s="179">
        <v>5.23</v>
      </c>
      <c r="O2051" s="179">
        <v>5.83</v>
      </c>
      <c r="P2051" s="179">
        <v>5.27</v>
      </c>
      <c r="Q2051" s="179">
        <f t="shared" si="63"/>
        <v>5.6825000000000001</v>
      </c>
      <c r="R2051" s="179" t="s">
        <v>993</v>
      </c>
    </row>
    <row r="2052" spans="1:18" x14ac:dyDescent="0.15">
      <c r="A2052" s="179" t="str">
        <f t="shared" si="62"/>
        <v>Uraupan de Progreso_Optimal Year Round_247.5</v>
      </c>
      <c r="B2052" s="179" t="s">
        <v>1164</v>
      </c>
      <c r="C2052" s="179">
        <v>19</v>
      </c>
      <c r="D2052" s="179">
        <v>247.5</v>
      </c>
      <c r="E2052" s="179">
        <v>5.23</v>
      </c>
      <c r="F2052" s="179">
        <v>5.89</v>
      </c>
      <c r="G2052" s="179">
        <v>6.44</v>
      </c>
      <c r="H2052" s="179">
        <v>6.13</v>
      </c>
      <c r="I2052" s="179">
        <v>5.56</v>
      </c>
      <c r="J2052" s="179">
        <v>5.1100000000000003</v>
      </c>
      <c r="K2052" s="179">
        <v>4.67</v>
      </c>
      <c r="L2052" s="179">
        <v>4.3899999999999997</v>
      </c>
      <c r="M2052" s="179">
        <v>4.3499999999999996</v>
      </c>
      <c r="N2052" s="179">
        <v>4.82</v>
      </c>
      <c r="O2052" s="179">
        <v>5.37</v>
      </c>
      <c r="P2052" s="179">
        <v>4.8600000000000003</v>
      </c>
      <c r="Q2052" s="179">
        <f t="shared" si="63"/>
        <v>5.2350000000000003</v>
      </c>
      <c r="R2052" s="179" t="s">
        <v>993</v>
      </c>
    </row>
    <row r="2053" spans="1:18" x14ac:dyDescent="0.15">
      <c r="A2053" s="179" t="str">
        <f t="shared" si="62"/>
        <v>Uraupan de Progreso_Optimal Year Round_270</v>
      </c>
      <c r="B2053" s="179" t="s">
        <v>1164</v>
      </c>
      <c r="C2053" s="179">
        <v>19</v>
      </c>
      <c r="D2053" s="179">
        <v>270</v>
      </c>
      <c r="E2053" s="179">
        <v>4.78</v>
      </c>
      <c r="F2053" s="179">
        <v>5.38</v>
      </c>
      <c r="G2053" s="179">
        <v>5.89</v>
      </c>
      <c r="H2053" s="179">
        <v>5.61</v>
      </c>
      <c r="I2053" s="179">
        <v>5.08</v>
      </c>
      <c r="J2053" s="179">
        <v>4.67</v>
      </c>
      <c r="K2053" s="179">
        <v>4.2699999999999996</v>
      </c>
      <c r="L2053" s="179">
        <v>4.0199999999999996</v>
      </c>
      <c r="M2053" s="179">
        <v>3.98</v>
      </c>
      <c r="N2053" s="179">
        <v>4.41</v>
      </c>
      <c r="O2053" s="179">
        <v>4.91</v>
      </c>
      <c r="P2053" s="179">
        <v>4.4400000000000004</v>
      </c>
      <c r="Q2053" s="179">
        <f t="shared" si="63"/>
        <v>4.7866666666666662</v>
      </c>
      <c r="R2053" s="179" t="s">
        <v>993</v>
      </c>
    </row>
    <row r="2054" spans="1:18" x14ac:dyDescent="0.15">
      <c r="A2054" s="179" t="str">
        <f t="shared" si="62"/>
        <v>Venustiano Carranza_Flat Surface_90</v>
      </c>
      <c r="B2054" s="501" t="s">
        <v>1165</v>
      </c>
      <c r="C2054" s="429">
        <v>0</v>
      </c>
      <c r="D2054" s="429">
        <v>90</v>
      </c>
      <c r="E2054" s="431">
        <v>4.74</v>
      </c>
      <c r="F2054" s="431">
        <v>5.68</v>
      </c>
      <c r="G2054" s="431">
        <v>6.47</v>
      </c>
      <c r="H2054" s="431">
        <v>6.38</v>
      </c>
      <c r="I2054" s="431">
        <v>6.21</v>
      </c>
      <c r="J2054" s="431">
        <v>5.57</v>
      </c>
      <c r="K2054" s="431">
        <v>5.48</v>
      </c>
      <c r="L2054" s="431">
        <v>5.31</v>
      </c>
      <c r="M2054" s="431">
        <v>4.88</v>
      </c>
      <c r="N2054" s="431">
        <v>4.87</v>
      </c>
      <c r="O2054" s="431">
        <v>4.7699999999999996</v>
      </c>
      <c r="P2054" s="431">
        <v>4.34</v>
      </c>
      <c r="Q2054" s="179">
        <f t="shared" si="63"/>
        <v>5.3916666666666666</v>
      </c>
      <c r="R2054" s="179" t="s">
        <v>994</v>
      </c>
    </row>
    <row r="2055" spans="1:18" x14ac:dyDescent="0.15">
      <c r="A2055" s="179" t="str">
        <f t="shared" si="62"/>
        <v>Venustiano Carranza_Flat Surface_112.5</v>
      </c>
      <c r="B2055" s="501" t="s">
        <v>1165</v>
      </c>
      <c r="C2055" s="429">
        <v>0</v>
      </c>
      <c r="D2055" s="429">
        <v>112.5</v>
      </c>
      <c r="E2055" s="431">
        <v>4.74</v>
      </c>
      <c r="F2055" s="431">
        <v>5.68</v>
      </c>
      <c r="G2055" s="431">
        <v>6.47</v>
      </c>
      <c r="H2055" s="431">
        <v>6.38</v>
      </c>
      <c r="I2055" s="431">
        <v>6.21</v>
      </c>
      <c r="J2055" s="431">
        <v>5.57</v>
      </c>
      <c r="K2055" s="431">
        <v>5.48</v>
      </c>
      <c r="L2055" s="431">
        <v>5.31</v>
      </c>
      <c r="M2055" s="431">
        <v>4.88</v>
      </c>
      <c r="N2055" s="431">
        <v>4.87</v>
      </c>
      <c r="O2055" s="431">
        <v>4.7699999999999996</v>
      </c>
      <c r="P2055" s="431">
        <v>4.34</v>
      </c>
      <c r="Q2055" s="179">
        <f t="shared" si="63"/>
        <v>5.3916666666666666</v>
      </c>
      <c r="R2055" s="179" t="s">
        <v>994</v>
      </c>
    </row>
    <row r="2056" spans="1:18" x14ac:dyDescent="0.15">
      <c r="A2056" s="179" t="str">
        <f t="shared" si="62"/>
        <v>Venustiano Carranza_Flat Surface_135</v>
      </c>
      <c r="B2056" s="501" t="s">
        <v>1165</v>
      </c>
      <c r="C2056" s="429">
        <v>0</v>
      </c>
      <c r="D2056" s="429">
        <v>135</v>
      </c>
      <c r="E2056" s="431">
        <v>4.74</v>
      </c>
      <c r="F2056" s="431">
        <v>5.68</v>
      </c>
      <c r="G2056" s="431">
        <v>6.47</v>
      </c>
      <c r="H2056" s="431">
        <v>6.38</v>
      </c>
      <c r="I2056" s="431">
        <v>6.21</v>
      </c>
      <c r="J2056" s="431">
        <v>5.57</v>
      </c>
      <c r="K2056" s="431">
        <v>5.48</v>
      </c>
      <c r="L2056" s="431">
        <v>5.31</v>
      </c>
      <c r="M2056" s="431">
        <v>4.88</v>
      </c>
      <c r="N2056" s="431">
        <v>4.87</v>
      </c>
      <c r="O2056" s="431">
        <v>4.7699999999999996</v>
      </c>
      <c r="P2056" s="431">
        <v>4.34</v>
      </c>
      <c r="Q2056" s="179">
        <f t="shared" si="63"/>
        <v>5.3916666666666666</v>
      </c>
      <c r="R2056" s="179" t="s">
        <v>994</v>
      </c>
    </row>
    <row r="2057" spans="1:18" x14ac:dyDescent="0.15">
      <c r="A2057" s="179" t="str">
        <f t="shared" si="62"/>
        <v>Venustiano Carranza_Flat Surface_157.5</v>
      </c>
      <c r="B2057" s="501" t="s">
        <v>1165</v>
      </c>
      <c r="C2057" s="429">
        <v>0</v>
      </c>
      <c r="D2057" s="429">
        <v>157.5</v>
      </c>
      <c r="E2057" s="431">
        <v>4.74</v>
      </c>
      <c r="F2057" s="431">
        <v>5.68</v>
      </c>
      <c r="G2057" s="431">
        <v>6.47</v>
      </c>
      <c r="H2057" s="431">
        <v>6.38</v>
      </c>
      <c r="I2057" s="431">
        <v>6.21</v>
      </c>
      <c r="J2057" s="431">
        <v>5.57</v>
      </c>
      <c r="K2057" s="431">
        <v>5.48</v>
      </c>
      <c r="L2057" s="431">
        <v>5.31</v>
      </c>
      <c r="M2057" s="431">
        <v>4.88</v>
      </c>
      <c r="N2057" s="431">
        <v>4.87</v>
      </c>
      <c r="O2057" s="431">
        <v>4.7699999999999996</v>
      </c>
      <c r="P2057" s="431">
        <v>4.34</v>
      </c>
      <c r="Q2057" s="179">
        <f t="shared" si="63"/>
        <v>5.3916666666666666</v>
      </c>
      <c r="R2057" s="179" t="s">
        <v>994</v>
      </c>
    </row>
    <row r="2058" spans="1:18" x14ac:dyDescent="0.15">
      <c r="A2058" s="179" t="str">
        <f t="shared" si="62"/>
        <v>Venustiano Carranza_Flat Surface_180</v>
      </c>
      <c r="B2058" s="501" t="s">
        <v>1165</v>
      </c>
      <c r="C2058" s="429">
        <v>0</v>
      </c>
      <c r="D2058" s="429">
        <v>180</v>
      </c>
      <c r="E2058" s="431">
        <v>4.74</v>
      </c>
      <c r="F2058" s="431">
        <v>5.68</v>
      </c>
      <c r="G2058" s="431">
        <v>6.47</v>
      </c>
      <c r="H2058" s="431">
        <v>6.38</v>
      </c>
      <c r="I2058" s="431">
        <v>6.21</v>
      </c>
      <c r="J2058" s="431">
        <v>5.57</v>
      </c>
      <c r="K2058" s="431">
        <v>5.48</v>
      </c>
      <c r="L2058" s="431">
        <v>5.31</v>
      </c>
      <c r="M2058" s="431">
        <v>4.88</v>
      </c>
      <c r="N2058" s="431">
        <v>4.87</v>
      </c>
      <c r="O2058" s="431">
        <v>4.7699999999999996</v>
      </c>
      <c r="P2058" s="431">
        <v>4.34</v>
      </c>
      <c r="Q2058" s="179">
        <f t="shared" si="63"/>
        <v>5.3916666666666666</v>
      </c>
      <c r="R2058" s="179" t="s">
        <v>994</v>
      </c>
    </row>
    <row r="2059" spans="1:18" x14ac:dyDescent="0.15">
      <c r="A2059" s="179" t="str">
        <f t="shared" si="62"/>
        <v>Venustiano Carranza_Flat Surface_202.5</v>
      </c>
      <c r="B2059" s="501" t="s">
        <v>1165</v>
      </c>
      <c r="C2059" s="429">
        <v>0</v>
      </c>
      <c r="D2059" s="429">
        <v>202.5</v>
      </c>
      <c r="E2059" s="431">
        <v>4.74</v>
      </c>
      <c r="F2059" s="431">
        <v>5.68</v>
      </c>
      <c r="G2059" s="431">
        <v>6.47</v>
      </c>
      <c r="H2059" s="431">
        <v>6.38</v>
      </c>
      <c r="I2059" s="431">
        <v>6.21</v>
      </c>
      <c r="J2059" s="431">
        <v>5.57</v>
      </c>
      <c r="K2059" s="431">
        <v>5.48</v>
      </c>
      <c r="L2059" s="431">
        <v>5.31</v>
      </c>
      <c r="M2059" s="431">
        <v>4.88</v>
      </c>
      <c r="N2059" s="431">
        <v>4.87</v>
      </c>
      <c r="O2059" s="431">
        <v>4.7699999999999996</v>
      </c>
      <c r="P2059" s="431">
        <v>4.34</v>
      </c>
      <c r="Q2059" s="179">
        <f t="shared" si="63"/>
        <v>5.3916666666666666</v>
      </c>
      <c r="R2059" s="179" t="s">
        <v>994</v>
      </c>
    </row>
    <row r="2060" spans="1:18" x14ac:dyDescent="0.15">
      <c r="A2060" s="179" t="str">
        <f t="shared" si="62"/>
        <v>Venustiano Carranza_Flat Surface_225</v>
      </c>
      <c r="B2060" s="501" t="s">
        <v>1165</v>
      </c>
      <c r="C2060" s="429">
        <v>0</v>
      </c>
      <c r="D2060" s="429">
        <v>225</v>
      </c>
      <c r="E2060" s="431">
        <v>4.74</v>
      </c>
      <c r="F2060" s="431">
        <v>5.68</v>
      </c>
      <c r="G2060" s="431">
        <v>6.47</v>
      </c>
      <c r="H2060" s="431">
        <v>6.38</v>
      </c>
      <c r="I2060" s="431">
        <v>6.21</v>
      </c>
      <c r="J2060" s="431">
        <v>5.57</v>
      </c>
      <c r="K2060" s="431">
        <v>5.48</v>
      </c>
      <c r="L2060" s="431">
        <v>5.31</v>
      </c>
      <c r="M2060" s="431">
        <v>4.88</v>
      </c>
      <c r="N2060" s="431">
        <v>4.87</v>
      </c>
      <c r="O2060" s="431">
        <v>4.7699999999999996</v>
      </c>
      <c r="P2060" s="431">
        <v>4.34</v>
      </c>
      <c r="Q2060" s="179">
        <f t="shared" si="63"/>
        <v>5.3916666666666666</v>
      </c>
      <c r="R2060" s="179" t="s">
        <v>994</v>
      </c>
    </row>
    <row r="2061" spans="1:18" x14ac:dyDescent="0.15">
      <c r="A2061" s="179" t="str">
        <f t="shared" si="62"/>
        <v>Venustiano Carranza_Flat Surface_247.5</v>
      </c>
      <c r="B2061" s="501" t="s">
        <v>1165</v>
      </c>
      <c r="C2061" s="429">
        <v>0</v>
      </c>
      <c r="D2061" s="429">
        <v>247.5</v>
      </c>
      <c r="E2061" s="431">
        <v>4.74</v>
      </c>
      <c r="F2061" s="431">
        <v>5.68</v>
      </c>
      <c r="G2061" s="431">
        <v>6.47</v>
      </c>
      <c r="H2061" s="431">
        <v>6.38</v>
      </c>
      <c r="I2061" s="431">
        <v>6.21</v>
      </c>
      <c r="J2061" s="431">
        <v>5.57</v>
      </c>
      <c r="K2061" s="431">
        <v>5.48</v>
      </c>
      <c r="L2061" s="431">
        <v>5.31</v>
      </c>
      <c r="M2061" s="431">
        <v>4.88</v>
      </c>
      <c r="N2061" s="431">
        <v>4.87</v>
      </c>
      <c r="O2061" s="431">
        <v>4.7699999999999996</v>
      </c>
      <c r="P2061" s="431">
        <v>4.34</v>
      </c>
      <c r="Q2061" s="179">
        <f t="shared" si="63"/>
        <v>5.3916666666666666</v>
      </c>
      <c r="R2061" s="179" t="s">
        <v>994</v>
      </c>
    </row>
    <row r="2062" spans="1:18" x14ac:dyDescent="0.15">
      <c r="A2062" s="179" t="str">
        <f t="shared" si="62"/>
        <v>Venustiano Carranza_Flat Surface_270</v>
      </c>
      <c r="B2062" s="501" t="s">
        <v>1165</v>
      </c>
      <c r="C2062" s="429">
        <v>0</v>
      </c>
      <c r="D2062" s="429">
        <v>270</v>
      </c>
      <c r="E2062" s="431">
        <v>4.74</v>
      </c>
      <c r="F2062" s="431">
        <v>5.68</v>
      </c>
      <c r="G2062" s="431">
        <v>6.47</v>
      </c>
      <c r="H2062" s="431">
        <v>6.38</v>
      </c>
      <c r="I2062" s="431">
        <v>6.21</v>
      </c>
      <c r="J2062" s="431">
        <v>5.57</v>
      </c>
      <c r="K2062" s="431">
        <v>5.48</v>
      </c>
      <c r="L2062" s="431">
        <v>5.31</v>
      </c>
      <c r="M2062" s="431">
        <v>4.88</v>
      </c>
      <c r="N2062" s="431">
        <v>4.87</v>
      </c>
      <c r="O2062" s="431">
        <v>4.7699999999999996</v>
      </c>
      <c r="P2062" s="431">
        <v>4.34</v>
      </c>
      <c r="Q2062" s="179">
        <f t="shared" si="63"/>
        <v>5.3916666666666666</v>
      </c>
      <c r="R2062" s="179" t="s">
        <v>994</v>
      </c>
    </row>
    <row r="2063" spans="1:18" x14ac:dyDescent="0.15">
      <c r="A2063" s="179" t="str">
        <f t="shared" si="62"/>
        <v>Venustiano Carranza_Optimal Summer_90</v>
      </c>
      <c r="B2063" s="501" t="s">
        <v>1165</v>
      </c>
      <c r="C2063" s="429">
        <v>4</v>
      </c>
      <c r="D2063" s="429">
        <v>90</v>
      </c>
      <c r="E2063" s="431">
        <v>4</v>
      </c>
      <c r="F2063" s="431">
        <v>4.72</v>
      </c>
      <c r="G2063" s="431">
        <v>5.29</v>
      </c>
      <c r="H2063" s="431">
        <v>5.13</v>
      </c>
      <c r="I2063" s="431">
        <v>4.93</v>
      </c>
      <c r="J2063" s="431">
        <v>4.49</v>
      </c>
      <c r="K2063" s="431">
        <v>4.41</v>
      </c>
      <c r="L2063" s="431">
        <v>4.25</v>
      </c>
      <c r="M2063" s="431">
        <v>3.94</v>
      </c>
      <c r="N2063" s="431">
        <v>4</v>
      </c>
      <c r="O2063" s="431">
        <v>4</v>
      </c>
      <c r="P2063" s="431">
        <v>3.66</v>
      </c>
      <c r="Q2063" s="179">
        <f t="shared" si="63"/>
        <v>4.4016666666666664</v>
      </c>
      <c r="R2063" s="179" t="s">
        <v>958</v>
      </c>
    </row>
    <row r="2064" spans="1:18" x14ac:dyDescent="0.15">
      <c r="A2064" s="179" t="str">
        <f t="shared" si="62"/>
        <v>Venustiano Carranza_Optimal Summer_112.5</v>
      </c>
      <c r="B2064" s="501" t="s">
        <v>1165</v>
      </c>
      <c r="C2064" s="429">
        <v>4</v>
      </c>
      <c r="D2064" s="429">
        <v>112.5</v>
      </c>
      <c r="E2064" s="431">
        <v>4.38</v>
      </c>
      <c r="F2064" s="431">
        <v>5.16</v>
      </c>
      <c r="G2064" s="431">
        <v>5.78</v>
      </c>
      <c r="H2064" s="431">
        <v>5.61</v>
      </c>
      <c r="I2064" s="431">
        <v>5.39</v>
      </c>
      <c r="J2064" s="431">
        <v>4.91</v>
      </c>
      <c r="K2064" s="431">
        <v>4.82</v>
      </c>
      <c r="L2064" s="431">
        <v>4.6500000000000004</v>
      </c>
      <c r="M2064" s="431">
        <v>4.3099999999999996</v>
      </c>
      <c r="N2064" s="431">
        <v>4.38</v>
      </c>
      <c r="O2064" s="431">
        <v>4.38</v>
      </c>
      <c r="P2064" s="431">
        <v>4</v>
      </c>
      <c r="Q2064" s="179">
        <f t="shared" si="63"/>
        <v>4.8141666666666669</v>
      </c>
      <c r="R2064" s="179" t="s">
        <v>958</v>
      </c>
    </row>
    <row r="2065" spans="1:18" x14ac:dyDescent="0.15">
      <c r="A2065" s="179" t="str">
        <f t="shared" si="62"/>
        <v>Venustiano Carranza_Optimal Summer_135</v>
      </c>
      <c r="B2065" s="501" t="s">
        <v>1165</v>
      </c>
      <c r="C2065" s="429">
        <v>4</v>
      </c>
      <c r="D2065" s="429">
        <v>135</v>
      </c>
      <c r="E2065" s="431">
        <v>4.75</v>
      </c>
      <c r="F2065" s="431">
        <v>5.6</v>
      </c>
      <c r="G2065" s="431">
        <v>6.28</v>
      </c>
      <c r="H2065" s="431">
        <v>6.09</v>
      </c>
      <c r="I2065" s="431">
        <v>5.85</v>
      </c>
      <c r="J2065" s="431">
        <v>5.33</v>
      </c>
      <c r="K2065" s="431">
        <v>5.23</v>
      </c>
      <c r="L2065" s="431">
        <v>5.04</v>
      </c>
      <c r="M2065" s="431">
        <v>4.68</v>
      </c>
      <c r="N2065" s="431">
        <v>4.75</v>
      </c>
      <c r="O2065" s="431">
        <v>4.75</v>
      </c>
      <c r="P2065" s="431">
        <v>4.34</v>
      </c>
      <c r="Q2065" s="179">
        <f t="shared" si="63"/>
        <v>5.2241666666666662</v>
      </c>
      <c r="R2065" s="179" t="s">
        <v>958</v>
      </c>
    </row>
    <row r="2066" spans="1:18" x14ac:dyDescent="0.15">
      <c r="A2066" s="179" t="str">
        <f t="shared" si="62"/>
        <v>Venustiano Carranza_Optimal Summer_157.5</v>
      </c>
      <c r="B2066" s="501" t="s">
        <v>1165</v>
      </c>
      <c r="C2066" s="429">
        <v>4</v>
      </c>
      <c r="D2066" s="429">
        <v>157.5</v>
      </c>
      <c r="E2066" s="431">
        <v>4.88</v>
      </c>
      <c r="F2066" s="431">
        <v>5.75</v>
      </c>
      <c r="G2066" s="431">
        <v>6.44</v>
      </c>
      <c r="H2066" s="431">
        <v>6.25</v>
      </c>
      <c r="I2066" s="431">
        <v>6.01</v>
      </c>
      <c r="J2066" s="431">
        <v>5.47</v>
      </c>
      <c r="K2066" s="431">
        <v>5.37</v>
      </c>
      <c r="L2066" s="431">
        <v>5.18</v>
      </c>
      <c r="M2066" s="431">
        <v>4.8099999999999996</v>
      </c>
      <c r="N2066" s="431">
        <v>4.88</v>
      </c>
      <c r="O2066" s="431">
        <v>4.88</v>
      </c>
      <c r="P2066" s="431">
        <v>4.46</v>
      </c>
      <c r="Q2066" s="179">
        <f t="shared" si="63"/>
        <v>5.3649999999999993</v>
      </c>
      <c r="R2066" s="179" t="s">
        <v>958</v>
      </c>
    </row>
    <row r="2067" spans="1:18" x14ac:dyDescent="0.15">
      <c r="A2067" s="179" t="str">
        <f t="shared" si="62"/>
        <v>Venustiano Carranza_Optimal Summer_180</v>
      </c>
      <c r="B2067" s="501" t="s">
        <v>1165</v>
      </c>
      <c r="C2067" s="429">
        <v>4</v>
      </c>
      <c r="D2067" s="429">
        <v>180</v>
      </c>
      <c r="E2067" s="431">
        <v>5</v>
      </c>
      <c r="F2067" s="431">
        <v>5.9</v>
      </c>
      <c r="G2067" s="431">
        <v>6.61</v>
      </c>
      <c r="H2067" s="431">
        <v>6.41</v>
      </c>
      <c r="I2067" s="431">
        <v>6.16</v>
      </c>
      <c r="J2067" s="431">
        <v>5.61</v>
      </c>
      <c r="K2067" s="431">
        <v>5.51</v>
      </c>
      <c r="L2067" s="431">
        <v>5.31</v>
      </c>
      <c r="M2067" s="431">
        <v>4.93</v>
      </c>
      <c r="N2067" s="431">
        <v>5</v>
      </c>
      <c r="O2067" s="431">
        <v>5</v>
      </c>
      <c r="P2067" s="431">
        <v>4.57</v>
      </c>
      <c r="Q2067" s="179">
        <f t="shared" si="63"/>
        <v>5.5008333333333335</v>
      </c>
      <c r="R2067" s="179" t="s">
        <v>958</v>
      </c>
    </row>
    <row r="2068" spans="1:18" x14ac:dyDescent="0.15">
      <c r="A2068" s="179" t="str">
        <f t="shared" si="62"/>
        <v>Venustiano Carranza_Optimal Summer_202.5</v>
      </c>
      <c r="B2068" s="501" t="s">
        <v>1165</v>
      </c>
      <c r="C2068" s="429">
        <v>4</v>
      </c>
      <c r="D2068" s="429">
        <v>202.5</v>
      </c>
      <c r="E2068" s="431">
        <v>4.88</v>
      </c>
      <c r="F2068" s="431">
        <v>5.75</v>
      </c>
      <c r="G2068" s="431">
        <v>6.44</v>
      </c>
      <c r="H2068" s="431">
        <v>6.25</v>
      </c>
      <c r="I2068" s="431">
        <v>6.01</v>
      </c>
      <c r="J2068" s="431">
        <v>5.47</v>
      </c>
      <c r="K2068" s="431">
        <v>5.37</v>
      </c>
      <c r="L2068" s="431">
        <v>5.18</v>
      </c>
      <c r="M2068" s="431">
        <v>4.8099999999999996</v>
      </c>
      <c r="N2068" s="431">
        <v>4.88</v>
      </c>
      <c r="O2068" s="431">
        <v>4.88</v>
      </c>
      <c r="P2068" s="431">
        <v>4.46</v>
      </c>
      <c r="Q2068" s="179">
        <f t="shared" si="63"/>
        <v>5.3649999999999993</v>
      </c>
      <c r="R2068" s="179" t="s">
        <v>958</v>
      </c>
    </row>
    <row r="2069" spans="1:18" x14ac:dyDescent="0.15">
      <c r="A2069" s="179" t="str">
        <f t="shared" si="62"/>
        <v>Venustiano Carranza_Optimal Summer_225</v>
      </c>
      <c r="B2069" s="501" t="s">
        <v>1165</v>
      </c>
      <c r="C2069" s="429">
        <v>4</v>
      </c>
      <c r="D2069" s="429">
        <v>225</v>
      </c>
      <c r="E2069" s="429">
        <v>4.75</v>
      </c>
      <c r="F2069" s="429">
        <v>5.6</v>
      </c>
      <c r="G2069" s="429">
        <v>6.28</v>
      </c>
      <c r="H2069" s="429">
        <v>6.09</v>
      </c>
      <c r="I2069" s="429">
        <v>5.85</v>
      </c>
      <c r="J2069" s="429">
        <v>5.33</v>
      </c>
      <c r="K2069" s="429">
        <v>5.23</v>
      </c>
      <c r="L2069" s="429">
        <v>5.04</v>
      </c>
      <c r="M2069" s="429">
        <v>4.68</v>
      </c>
      <c r="N2069" s="429">
        <v>4.75</v>
      </c>
      <c r="O2069" s="429">
        <v>4.75</v>
      </c>
      <c r="P2069" s="429">
        <v>4.34</v>
      </c>
      <c r="Q2069" s="179">
        <f t="shared" si="63"/>
        <v>5.2241666666666662</v>
      </c>
      <c r="R2069" s="179" t="s">
        <v>958</v>
      </c>
    </row>
    <row r="2070" spans="1:18" x14ac:dyDescent="0.15">
      <c r="A2070" s="179" t="str">
        <f t="shared" si="62"/>
        <v>Venustiano Carranza_Optimal Summer_247.5</v>
      </c>
      <c r="B2070" s="501" t="s">
        <v>1165</v>
      </c>
      <c r="C2070" s="429">
        <v>4</v>
      </c>
      <c r="D2070" s="429">
        <v>247.5</v>
      </c>
      <c r="E2070" s="429">
        <v>4.38</v>
      </c>
      <c r="F2070" s="429">
        <v>5.16</v>
      </c>
      <c r="G2070" s="429">
        <v>5.78</v>
      </c>
      <c r="H2070" s="429">
        <v>5.61</v>
      </c>
      <c r="I2070" s="429">
        <v>5.39</v>
      </c>
      <c r="J2070" s="429">
        <v>4.91</v>
      </c>
      <c r="K2070" s="429">
        <v>4.82</v>
      </c>
      <c r="L2070" s="429">
        <v>4.6500000000000004</v>
      </c>
      <c r="M2070" s="429">
        <v>4.3099999999999996</v>
      </c>
      <c r="N2070" s="429">
        <v>4.38</v>
      </c>
      <c r="O2070" s="429">
        <v>4.38</v>
      </c>
      <c r="P2070" s="429">
        <v>4</v>
      </c>
      <c r="Q2070" s="179">
        <f t="shared" si="63"/>
        <v>4.8141666666666669</v>
      </c>
      <c r="R2070" s="179" t="s">
        <v>958</v>
      </c>
    </row>
    <row r="2071" spans="1:18" x14ac:dyDescent="0.15">
      <c r="A2071" s="179" t="str">
        <f t="shared" si="62"/>
        <v>Venustiano Carranza_Optimal Summer_270</v>
      </c>
      <c r="B2071" s="501" t="s">
        <v>1165</v>
      </c>
      <c r="C2071" s="429">
        <v>4</v>
      </c>
      <c r="D2071" s="429">
        <v>270</v>
      </c>
      <c r="E2071" s="429">
        <v>4</v>
      </c>
      <c r="F2071" s="429">
        <v>4.72</v>
      </c>
      <c r="G2071" s="429">
        <v>5.29</v>
      </c>
      <c r="H2071" s="429">
        <v>5.13</v>
      </c>
      <c r="I2071" s="429">
        <v>4.93</v>
      </c>
      <c r="J2071" s="429">
        <v>4.49</v>
      </c>
      <c r="K2071" s="429">
        <v>4.41</v>
      </c>
      <c r="L2071" s="429">
        <v>4.25</v>
      </c>
      <c r="M2071" s="429">
        <v>3.94</v>
      </c>
      <c r="N2071" s="429">
        <v>4</v>
      </c>
      <c r="O2071" s="429">
        <v>4</v>
      </c>
      <c r="P2071" s="429">
        <v>3.66</v>
      </c>
      <c r="Q2071" s="179">
        <f t="shared" si="63"/>
        <v>4.4016666666666664</v>
      </c>
      <c r="R2071" s="179" t="s">
        <v>958</v>
      </c>
    </row>
    <row r="2072" spans="1:18" x14ac:dyDescent="0.15">
      <c r="A2072" s="179" t="str">
        <f t="shared" si="62"/>
        <v>Venustiano Carranza_Optimal Year Round_90</v>
      </c>
      <c r="B2072" s="501" t="s">
        <v>1165</v>
      </c>
      <c r="C2072" s="429">
        <v>19</v>
      </c>
      <c r="D2072" s="429">
        <v>90</v>
      </c>
      <c r="E2072" s="431">
        <v>4.62</v>
      </c>
      <c r="F2072" s="431">
        <v>5.21</v>
      </c>
      <c r="G2072" s="431">
        <v>5.5</v>
      </c>
      <c r="H2072" s="431">
        <v>5.03</v>
      </c>
      <c r="I2072" s="431">
        <v>4.63</v>
      </c>
      <c r="J2072" s="431">
        <v>4.47</v>
      </c>
      <c r="K2072" s="431">
        <v>4.37</v>
      </c>
      <c r="L2072" s="431">
        <v>4.1100000000000003</v>
      </c>
      <c r="M2072" s="431">
        <v>3.98</v>
      </c>
      <c r="N2072" s="431">
        <v>4.26</v>
      </c>
      <c r="O2072" s="431">
        <v>4.54</v>
      </c>
      <c r="P2072" s="431">
        <v>4.2300000000000004</v>
      </c>
      <c r="Q2072" s="179">
        <f t="shared" si="63"/>
        <v>4.5791666666666657</v>
      </c>
      <c r="R2072" s="179" t="s">
        <v>993</v>
      </c>
    </row>
    <row r="2073" spans="1:18" x14ac:dyDescent="0.15">
      <c r="A2073" s="179" t="str">
        <f t="shared" si="62"/>
        <v>Venustiano Carranza_Optimal Year Round_112.5</v>
      </c>
      <c r="B2073" s="501" t="s">
        <v>1165</v>
      </c>
      <c r="C2073" s="429">
        <v>19</v>
      </c>
      <c r="D2073" s="429">
        <v>112.5</v>
      </c>
      <c r="E2073" s="431">
        <v>5.0599999999999996</v>
      </c>
      <c r="F2073" s="431">
        <v>5.7</v>
      </c>
      <c r="G2073" s="431">
        <v>6.02</v>
      </c>
      <c r="H2073" s="431">
        <v>5.5</v>
      </c>
      <c r="I2073" s="431">
        <v>5.07</v>
      </c>
      <c r="J2073" s="431">
        <v>4.8899999999999997</v>
      </c>
      <c r="K2073" s="431">
        <v>4.78</v>
      </c>
      <c r="L2073" s="431">
        <v>4.5</v>
      </c>
      <c r="M2073" s="431">
        <v>4.3499999999999996</v>
      </c>
      <c r="N2073" s="431">
        <v>4.66</v>
      </c>
      <c r="O2073" s="431">
        <v>4.97</v>
      </c>
      <c r="P2073" s="431">
        <v>4.63</v>
      </c>
      <c r="Q2073" s="179">
        <f t="shared" si="63"/>
        <v>5.0108333333333333</v>
      </c>
      <c r="R2073" s="179" t="s">
        <v>993</v>
      </c>
    </row>
    <row r="2074" spans="1:18" x14ac:dyDescent="0.15">
      <c r="A2074" s="179" t="str">
        <f t="shared" si="62"/>
        <v>Venustiano Carranza_Optimal Year Round_135</v>
      </c>
      <c r="B2074" s="501" t="s">
        <v>1165</v>
      </c>
      <c r="C2074" s="429">
        <v>19</v>
      </c>
      <c r="D2074" s="429">
        <v>135</v>
      </c>
      <c r="E2074" s="431">
        <v>5.49</v>
      </c>
      <c r="F2074" s="431">
        <v>6.18</v>
      </c>
      <c r="G2074" s="431">
        <v>6.54</v>
      </c>
      <c r="H2074" s="431">
        <v>5.98</v>
      </c>
      <c r="I2074" s="431">
        <v>5.5</v>
      </c>
      <c r="J2074" s="431">
        <v>5.31</v>
      </c>
      <c r="K2074" s="431">
        <v>5.19</v>
      </c>
      <c r="L2074" s="431">
        <v>4.88</v>
      </c>
      <c r="M2074" s="431">
        <v>4.72</v>
      </c>
      <c r="N2074" s="431">
        <v>5.0599999999999996</v>
      </c>
      <c r="O2074" s="431">
        <v>5.4</v>
      </c>
      <c r="P2074" s="431">
        <v>5.03</v>
      </c>
      <c r="Q2074" s="179">
        <f t="shared" si="63"/>
        <v>5.44</v>
      </c>
      <c r="R2074" s="179" t="s">
        <v>993</v>
      </c>
    </row>
    <row r="2075" spans="1:18" x14ac:dyDescent="0.15">
      <c r="A2075" s="179" t="str">
        <f t="shared" si="62"/>
        <v>Venustiano Carranza_Optimal Year Round_157.5</v>
      </c>
      <c r="B2075" s="501" t="s">
        <v>1165</v>
      </c>
      <c r="C2075" s="429">
        <v>19</v>
      </c>
      <c r="D2075" s="429">
        <v>157.5</v>
      </c>
      <c r="E2075" s="431">
        <v>5.64</v>
      </c>
      <c r="F2075" s="431">
        <v>6.35</v>
      </c>
      <c r="G2075" s="431">
        <v>6.71</v>
      </c>
      <c r="H2075" s="431">
        <v>6.13</v>
      </c>
      <c r="I2075" s="431">
        <v>5.65</v>
      </c>
      <c r="J2075" s="431">
        <v>5.45</v>
      </c>
      <c r="K2075" s="431">
        <v>5.32</v>
      </c>
      <c r="L2075" s="431">
        <v>5.01</v>
      </c>
      <c r="M2075" s="431">
        <v>4.8499999999999996</v>
      </c>
      <c r="N2075" s="431">
        <v>5.2</v>
      </c>
      <c r="O2075" s="431">
        <v>5.54</v>
      </c>
      <c r="P2075" s="431">
        <v>5.16</v>
      </c>
      <c r="Q2075" s="179">
        <f t="shared" si="63"/>
        <v>5.5841666666666674</v>
      </c>
      <c r="R2075" s="179" t="s">
        <v>993</v>
      </c>
    </row>
    <row r="2076" spans="1:18" x14ac:dyDescent="0.15">
      <c r="A2076" s="179" t="str">
        <f t="shared" si="62"/>
        <v>Venustiano Carranza_Optimal Year Round_180</v>
      </c>
      <c r="B2076" s="501" t="s">
        <v>1165</v>
      </c>
      <c r="C2076" s="429">
        <v>19</v>
      </c>
      <c r="D2076" s="429">
        <v>180</v>
      </c>
      <c r="E2076" s="431">
        <v>5.78</v>
      </c>
      <c r="F2076" s="431">
        <v>6.51</v>
      </c>
      <c r="G2076" s="431">
        <v>6.88</v>
      </c>
      <c r="H2076" s="431">
        <v>6.29</v>
      </c>
      <c r="I2076" s="431">
        <v>5.79</v>
      </c>
      <c r="J2076" s="431">
        <v>5.59</v>
      </c>
      <c r="K2076" s="431">
        <v>5.46</v>
      </c>
      <c r="L2076" s="431">
        <v>5.14</v>
      </c>
      <c r="M2076" s="431">
        <v>4.97</v>
      </c>
      <c r="N2076" s="431">
        <v>5.33</v>
      </c>
      <c r="O2076" s="431">
        <v>5.68</v>
      </c>
      <c r="P2076" s="431">
        <v>5.29</v>
      </c>
      <c r="Q2076" s="179">
        <f t="shared" si="63"/>
        <v>5.7258333333333331</v>
      </c>
      <c r="R2076" s="179" t="s">
        <v>993</v>
      </c>
    </row>
    <row r="2077" spans="1:18" x14ac:dyDescent="0.15">
      <c r="A2077" s="179" t="str">
        <f t="shared" si="62"/>
        <v>Venustiano Carranza_Optimal Year Round_202.5</v>
      </c>
      <c r="B2077" s="501" t="s">
        <v>1165</v>
      </c>
      <c r="C2077" s="429">
        <v>19</v>
      </c>
      <c r="D2077" s="429">
        <v>202.5</v>
      </c>
      <c r="E2077" s="431">
        <v>5.64</v>
      </c>
      <c r="F2077" s="431">
        <v>6.35</v>
      </c>
      <c r="G2077" s="431">
        <v>6.71</v>
      </c>
      <c r="H2077" s="431">
        <v>6.13</v>
      </c>
      <c r="I2077" s="431">
        <v>5.65</v>
      </c>
      <c r="J2077" s="431">
        <v>5.45</v>
      </c>
      <c r="K2077" s="431">
        <v>5.32</v>
      </c>
      <c r="L2077" s="431">
        <v>5.01</v>
      </c>
      <c r="M2077" s="431">
        <v>4.8499999999999996</v>
      </c>
      <c r="N2077" s="431">
        <v>5.2</v>
      </c>
      <c r="O2077" s="431">
        <v>5.54</v>
      </c>
      <c r="P2077" s="431">
        <v>5.16</v>
      </c>
      <c r="Q2077" s="179">
        <f t="shared" si="63"/>
        <v>5.5841666666666674</v>
      </c>
      <c r="R2077" s="179" t="s">
        <v>993</v>
      </c>
    </row>
    <row r="2078" spans="1:18" x14ac:dyDescent="0.15">
      <c r="A2078" s="179" t="str">
        <f t="shared" si="62"/>
        <v>Venustiano Carranza_Optimal Year Round_225</v>
      </c>
      <c r="B2078" s="501" t="s">
        <v>1165</v>
      </c>
      <c r="C2078" s="429">
        <v>19</v>
      </c>
      <c r="D2078" s="429">
        <v>225</v>
      </c>
      <c r="E2078" s="429">
        <v>5.49</v>
      </c>
      <c r="F2078" s="429">
        <v>6.18</v>
      </c>
      <c r="G2078" s="429">
        <v>6.54</v>
      </c>
      <c r="H2078" s="429">
        <v>5.98</v>
      </c>
      <c r="I2078" s="429">
        <v>5.5</v>
      </c>
      <c r="J2078" s="429">
        <v>5.31</v>
      </c>
      <c r="K2078" s="429">
        <v>5.19</v>
      </c>
      <c r="L2078" s="429">
        <v>4.88</v>
      </c>
      <c r="M2078" s="429">
        <v>4.72</v>
      </c>
      <c r="N2078" s="429">
        <v>5.0599999999999996</v>
      </c>
      <c r="O2078" s="429">
        <v>5.4</v>
      </c>
      <c r="P2078" s="429">
        <v>5.03</v>
      </c>
      <c r="Q2078" s="179">
        <f t="shared" si="63"/>
        <v>5.44</v>
      </c>
      <c r="R2078" s="179" t="s">
        <v>993</v>
      </c>
    </row>
    <row r="2079" spans="1:18" x14ac:dyDescent="0.15">
      <c r="A2079" s="179" t="str">
        <f t="shared" si="62"/>
        <v>Venustiano Carranza_Optimal Year Round_247.5</v>
      </c>
      <c r="B2079" s="501" t="s">
        <v>1165</v>
      </c>
      <c r="C2079" s="429">
        <v>19</v>
      </c>
      <c r="D2079" s="429">
        <v>247.5</v>
      </c>
      <c r="E2079" s="429">
        <v>5.0599999999999996</v>
      </c>
      <c r="F2079" s="429">
        <v>5.7</v>
      </c>
      <c r="G2079" s="429">
        <v>6.02</v>
      </c>
      <c r="H2079" s="429">
        <v>5.5</v>
      </c>
      <c r="I2079" s="429">
        <v>5.07</v>
      </c>
      <c r="J2079" s="429">
        <v>4.8899999999999997</v>
      </c>
      <c r="K2079" s="429">
        <v>4.78</v>
      </c>
      <c r="L2079" s="429">
        <v>4.5</v>
      </c>
      <c r="M2079" s="429">
        <v>4.3499999999999996</v>
      </c>
      <c r="N2079" s="429">
        <v>4.66</v>
      </c>
      <c r="O2079" s="429">
        <v>4.97</v>
      </c>
      <c r="P2079" s="429">
        <v>4.63</v>
      </c>
      <c r="Q2079" s="179">
        <f t="shared" si="63"/>
        <v>5.0108333333333333</v>
      </c>
      <c r="R2079" s="179" t="s">
        <v>993</v>
      </c>
    </row>
    <row r="2080" spans="1:18" x14ac:dyDescent="0.15">
      <c r="A2080" s="179" t="str">
        <f t="shared" si="62"/>
        <v>Venustiano Carranza_Optimal Year Round_270</v>
      </c>
      <c r="B2080" s="501" t="s">
        <v>1165</v>
      </c>
      <c r="C2080" s="429">
        <v>19</v>
      </c>
      <c r="D2080" s="429">
        <v>270</v>
      </c>
      <c r="E2080" s="429">
        <v>4.62</v>
      </c>
      <c r="F2080" s="429">
        <v>5.21</v>
      </c>
      <c r="G2080" s="429">
        <v>5.5</v>
      </c>
      <c r="H2080" s="429">
        <v>5.03</v>
      </c>
      <c r="I2080" s="429">
        <v>4.63</v>
      </c>
      <c r="J2080" s="429">
        <v>4.47</v>
      </c>
      <c r="K2080" s="429">
        <v>4.37</v>
      </c>
      <c r="L2080" s="429">
        <v>4.1100000000000003</v>
      </c>
      <c r="M2080" s="429">
        <v>3.98</v>
      </c>
      <c r="N2080" s="429">
        <v>4.26</v>
      </c>
      <c r="O2080" s="429">
        <v>4.54</v>
      </c>
      <c r="P2080" s="429">
        <v>4.2300000000000004</v>
      </c>
      <c r="Q2080" s="179">
        <f t="shared" si="63"/>
        <v>4.5791666666666657</v>
      </c>
      <c r="R2080" s="179" t="s">
        <v>993</v>
      </c>
    </row>
    <row r="2081" spans="1:18" x14ac:dyDescent="0.15">
      <c r="A2081" s="179" t="str">
        <f t="shared" si="62"/>
        <v>Veracruz_Flat Surface_90</v>
      </c>
      <c r="B2081" s="179" t="s">
        <v>673</v>
      </c>
      <c r="C2081" s="179">
        <v>0</v>
      </c>
      <c r="D2081" s="179">
        <v>90</v>
      </c>
      <c r="E2081" s="179">
        <v>3.62</v>
      </c>
      <c r="F2081" s="179">
        <v>4.1900000000000004</v>
      </c>
      <c r="G2081" s="179">
        <v>4.8</v>
      </c>
      <c r="H2081" s="179">
        <v>5.25</v>
      </c>
      <c r="I2081" s="179">
        <v>5.43</v>
      </c>
      <c r="J2081" s="179">
        <v>5.04</v>
      </c>
      <c r="K2081" s="179">
        <v>5.24</v>
      </c>
      <c r="L2081" s="179">
        <v>4.95</v>
      </c>
      <c r="M2081" s="179">
        <v>4.4000000000000004</v>
      </c>
      <c r="N2081" s="179">
        <v>4.25</v>
      </c>
      <c r="O2081" s="179">
        <v>3.92</v>
      </c>
      <c r="P2081" s="179">
        <v>3.47</v>
      </c>
      <c r="Q2081" s="179">
        <f t="shared" si="63"/>
        <v>4.5466666666666669</v>
      </c>
      <c r="R2081" s="179" t="s">
        <v>994</v>
      </c>
    </row>
    <row r="2082" spans="1:18" x14ac:dyDescent="0.15">
      <c r="A2082" s="179" t="str">
        <f t="shared" si="62"/>
        <v>Veracruz_Flat Surface_112.5</v>
      </c>
      <c r="B2082" s="179" t="s">
        <v>673</v>
      </c>
      <c r="C2082" s="179">
        <v>0</v>
      </c>
      <c r="D2082" s="179">
        <v>112.5</v>
      </c>
      <c r="E2082" s="179">
        <v>3.62</v>
      </c>
      <c r="F2082" s="179">
        <v>4.1900000000000004</v>
      </c>
      <c r="G2082" s="179">
        <v>4.8</v>
      </c>
      <c r="H2082" s="179">
        <v>5.25</v>
      </c>
      <c r="I2082" s="179">
        <v>5.43</v>
      </c>
      <c r="J2082" s="179">
        <v>5.04</v>
      </c>
      <c r="K2082" s="179">
        <v>5.24</v>
      </c>
      <c r="L2082" s="179">
        <v>4.95</v>
      </c>
      <c r="M2082" s="179">
        <v>4.4000000000000004</v>
      </c>
      <c r="N2082" s="179">
        <v>4.25</v>
      </c>
      <c r="O2082" s="179">
        <v>3.92</v>
      </c>
      <c r="P2082" s="179">
        <v>3.47</v>
      </c>
      <c r="Q2082" s="179">
        <f t="shared" si="63"/>
        <v>4.5466666666666669</v>
      </c>
      <c r="R2082" s="179" t="s">
        <v>994</v>
      </c>
    </row>
    <row r="2083" spans="1:18" x14ac:dyDescent="0.15">
      <c r="A2083" s="179" t="str">
        <f t="shared" si="62"/>
        <v>Veracruz_Flat Surface_135</v>
      </c>
      <c r="B2083" s="179" t="s">
        <v>673</v>
      </c>
      <c r="C2083" s="179">
        <v>0</v>
      </c>
      <c r="D2083" s="179">
        <v>135</v>
      </c>
      <c r="E2083" s="179">
        <v>3.62</v>
      </c>
      <c r="F2083" s="179">
        <v>4.1900000000000004</v>
      </c>
      <c r="G2083" s="179">
        <v>4.8</v>
      </c>
      <c r="H2083" s="179">
        <v>5.25</v>
      </c>
      <c r="I2083" s="179">
        <v>5.43</v>
      </c>
      <c r="J2083" s="179">
        <v>5.04</v>
      </c>
      <c r="K2083" s="179">
        <v>5.24</v>
      </c>
      <c r="L2083" s="179">
        <v>4.95</v>
      </c>
      <c r="M2083" s="179">
        <v>4.4000000000000004</v>
      </c>
      <c r="N2083" s="179">
        <v>4.25</v>
      </c>
      <c r="O2083" s="179">
        <v>3.92</v>
      </c>
      <c r="P2083" s="179">
        <v>3.47</v>
      </c>
      <c r="Q2083" s="179">
        <f t="shared" si="63"/>
        <v>4.5466666666666669</v>
      </c>
      <c r="R2083" s="179" t="s">
        <v>994</v>
      </c>
    </row>
    <row r="2084" spans="1:18" x14ac:dyDescent="0.15">
      <c r="A2084" s="179" t="str">
        <f t="shared" si="62"/>
        <v>Veracruz_Flat Surface_157.5</v>
      </c>
      <c r="B2084" s="179" t="s">
        <v>673</v>
      </c>
      <c r="C2084" s="179">
        <v>0</v>
      </c>
      <c r="D2084" s="179">
        <v>157.5</v>
      </c>
      <c r="E2084" s="179">
        <v>3.62</v>
      </c>
      <c r="F2084" s="179">
        <v>4.1900000000000004</v>
      </c>
      <c r="G2084" s="179">
        <v>4.8</v>
      </c>
      <c r="H2084" s="179">
        <v>5.25</v>
      </c>
      <c r="I2084" s="179">
        <v>5.43</v>
      </c>
      <c r="J2084" s="179">
        <v>5.04</v>
      </c>
      <c r="K2084" s="179">
        <v>5.24</v>
      </c>
      <c r="L2084" s="179">
        <v>4.95</v>
      </c>
      <c r="M2084" s="179">
        <v>4.4000000000000004</v>
      </c>
      <c r="N2084" s="179">
        <v>4.25</v>
      </c>
      <c r="O2084" s="179">
        <v>3.92</v>
      </c>
      <c r="P2084" s="179">
        <v>3.47</v>
      </c>
      <c r="Q2084" s="179">
        <f t="shared" si="63"/>
        <v>4.5466666666666669</v>
      </c>
      <c r="R2084" s="179" t="s">
        <v>994</v>
      </c>
    </row>
    <row r="2085" spans="1:18" x14ac:dyDescent="0.15">
      <c r="A2085" s="179" t="str">
        <f t="shared" si="62"/>
        <v>Veracruz_Flat Surface_180</v>
      </c>
      <c r="B2085" s="179" t="s">
        <v>673</v>
      </c>
      <c r="C2085" s="179">
        <v>0</v>
      </c>
      <c r="D2085" s="179">
        <v>180</v>
      </c>
      <c r="E2085" s="179">
        <v>3.62</v>
      </c>
      <c r="F2085" s="179">
        <v>4.1900000000000004</v>
      </c>
      <c r="G2085" s="179">
        <v>4.8</v>
      </c>
      <c r="H2085" s="179">
        <v>5.25</v>
      </c>
      <c r="I2085" s="179">
        <v>5.43</v>
      </c>
      <c r="J2085" s="179">
        <v>5.04</v>
      </c>
      <c r="K2085" s="179">
        <v>5.24</v>
      </c>
      <c r="L2085" s="179">
        <v>4.95</v>
      </c>
      <c r="M2085" s="179">
        <v>4.4000000000000004</v>
      </c>
      <c r="N2085" s="179">
        <v>4.25</v>
      </c>
      <c r="O2085" s="179">
        <v>3.92</v>
      </c>
      <c r="P2085" s="179">
        <v>3.47</v>
      </c>
      <c r="Q2085" s="179">
        <f t="shared" si="63"/>
        <v>4.5466666666666669</v>
      </c>
      <c r="R2085" s="179" t="s">
        <v>994</v>
      </c>
    </row>
    <row r="2086" spans="1:18" x14ac:dyDescent="0.15">
      <c r="A2086" s="179" t="str">
        <f t="shared" si="62"/>
        <v>Veracruz_Flat Surface_202.5</v>
      </c>
      <c r="B2086" s="179" t="s">
        <v>673</v>
      </c>
      <c r="C2086" s="179">
        <v>0</v>
      </c>
      <c r="D2086" s="179">
        <v>202.5</v>
      </c>
      <c r="E2086" s="179">
        <v>3.62</v>
      </c>
      <c r="F2086" s="179">
        <v>4.1900000000000004</v>
      </c>
      <c r="G2086" s="179">
        <v>4.8</v>
      </c>
      <c r="H2086" s="179">
        <v>5.25</v>
      </c>
      <c r="I2086" s="179">
        <v>5.43</v>
      </c>
      <c r="J2086" s="179">
        <v>5.04</v>
      </c>
      <c r="K2086" s="179">
        <v>5.24</v>
      </c>
      <c r="L2086" s="179">
        <v>4.95</v>
      </c>
      <c r="M2086" s="179">
        <v>4.4000000000000004</v>
      </c>
      <c r="N2086" s="179">
        <v>4.25</v>
      </c>
      <c r="O2086" s="179">
        <v>3.92</v>
      </c>
      <c r="P2086" s="179">
        <v>3.47</v>
      </c>
      <c r="Q2086" s="179">
        <f t="shared" si="63"/>
        <v>4.5466666666666669</v>
      </c>
      <c r="R2086" s="179" t="s">
        <v>994</v>
      </c>
    </row>
    <row r="2087" spans="1:18" x14ac:dyDescent="0.15">
      <c r="A2087" s="179" t="str">
        <f t="shared" si="62"/>
        <v>Veracruz_Flat Surface_225</v>
      </c>
      <c r="B2087" s="179" t="s">
        <v>673</v>
      </c>
      <c r="C2087" s="179">
        <v>0</v>
      </c>
      <c r="D2087" s="179">
        <v>225</v>
      </c>
      <c r="E2087" s="179">
        <v>3.62</v>
      </c>
      <c r="F2087" s="179">
        <v>4.1900000000000004</v>
      </c>
      <c r="G2087" s="179">
        <v>4.8</v>
      </c>
      <c r="H2087" s="179">
        <v>5.25</v>
      </c>
      <c r="I2087" s="179">
        <v>5.43</v>
      </c>
      <c r="J2087" s="179">
        <v>5.04</v>
      </c>
      <c r="K2087" s="179">
        <v>5.24</v>
      </c>
      <c r="L2087" s="179">
        <v>4.95</v>
      </c>
      <c r="M2087" s="179">
        <v>4.4000000000000004</v>
      </c>
      <c r="N2087" s="179">
        <v>4.25</v>
      </c>
      <c r="O2087" s="179">
        <v>3.92</v>
      </c>
      <c r="P2087" s="179">
        <v>3.47</v>
      </c>
      <c r="Q2087" s="179">
        <f t="shared" si="63"/>
        <v>4.5466666666666669</v>
      </c>
      <c r="R2087" s="179" t="s">
        <v>994</v>
      </c>
    </row>
    <row r="2088" spans="1:18" x14ac:dyDescent="0.15">
      <c r="A2088" s="179" t="str">
        <f t="shared" si="62"/>
        <v>Veracruz_Flat Surface_247.5</v>
      </c>
      <c r="B2088" s="179" t="s">
        <v>673</v>
      </c>
      <c r="C2088" s="179">
        <v>0</v>
      </c>
      <c r="D2088" s="179">
        <v>247.5</v>
      </c>
      <c r="E2088" s="179">
        <v>3.62</v>
      </c>
      <c r="F2088" s="179">
        <v>4.1900000000000004</v>
      </c>
      <c r="G2088" s="179">
        <v>4.8</v>
      </c>
      <c r="H2088" s="179">
        <v>5.25</v>
      </c>
      <c r="I2088" s="179">
        <v>5.43</v>
      </c>
      <c r="J2088" s="179">
        <v>5.04</v>
      </c>
      <c r="K2088" s="179">
        <v>5.24</v>
      </c>
      <c r="L2088" s="179">
        <v>4.95</v>
      </c>
      <c r="M2088" s="179">
        <v>4.4000000000000004</v>
      </c>
      <c r="N2088" s="179">
        <v>4.25</v>
      </c>
      <c r="O2088" s="179">
        <v>3.92</v>
      </c>
      <c r="P2088" s="179">
        <v>3.47</v>
      </c>
      <c r="Q2088" s="179">
        <f t="shared" si="63"/>
        <v>4.5466666666666669</v>
      </c>
      <c r="R2088" s="179" t="s">
        <v>994</v>
      </c>
    </row>
    <row r="2089" spans="1:18" x14ac:dyDescent="0.15">
      <c r="A2089" s="179" t="str">
        <f t="shared" si="62"/>
        <v>Veracruz_Flat Surface_270</v>
      </c>
      <c r="B2089" s="179" t="s">
        <v>673</v>
      </c>
      <c r="C2089" s="179">
        <v>0</v>
      </c>
      <c r="D2089" s="179">
        <v>270</v>
      </c>
      <c r="E2089" s="179">
        <v>3.62</v>
      </c>
      <c r="F2089" s="179">
        <v>4.1900000000000004</v>
      </c>
      <c r="G2089" s="179">
        <v>4.8</v>
      </c>
      <c r="H2089" s="179">
        <v>5.25</v>
      </c>
      <c r="I2089" s="179">
        <v>5.43</v>
      </c>
      <c r="J2089" s="179">
        <v>5.04</v>
      </c>
      <c r="K2089" s="179">
        <v>5.24</v>
      </c>
      <c r="L2089" s="179">
        <v>4.95</v>
      </c>
      <c r="M2089" s="179">
        <v>4.4000000000000004</v>
      </c>
      <c r="N2089" s="179">
        <v>4.25</v>
      </c>
      <c r="O2089" s="179">
        <v>3.92</v>
      </c>
      <c r="P2089" s="179">
        <v>3.47</v>
      </c>
      <c r="Q2089" s="179">
        <f t="shared" si="63"/>
        <v>4.5466666666666669</v>
      </c>
      <c r="R2089" s="179" t="s">
        <v>994</v>
      </c>
    </row>
    <row r="2090" spans="1:18" x14ac:dyDescent="0.15">
      <c r="A2090" s="179" t="str">
        <f t="shared" si="62"/>
        <v>Veracruz_Optimal Summer_90</v>
      </c>
      <c r="B2090" s="179" t="s">
        <v>673</v>
      </c>
      <c r="C2090" s="179">
        <v>4</v>
      </c>
      <c r="D2090" s="179">
        <v>90</v>
      </c>
      <c r="E2090" s="179">
        <v>3.02</v>
      </c>
      <c r="F2090" s="179">
        <v>3.45</v>
      </c>
      <c r="G2090" s="179">
        <v>3.9</v>
      </c>
      <c r="H2090" s="179">
        <v>4.22</v>
      </c>
      <c r="I2090" s="179">
        <v>4.3099999999999996</v>
      </c>
      <c r="J2090" s="179">
        <v>4.0599999999999996</v>
      </c>
      <c r="K2090" s="179">
        <v>4.22</v>
      </c>
      <c r="L2090" s="179">
        <v>3.95</v>
      </c>
      <c r="M2090" s="179">
        <v>3.55</v>
      </c>
      <c r="N2090" s="179">
        <v>3.48</v>
      </c>
      <c r="O2090" s="179">
        <v>3.26</v>
      </c>
      <c r="P2090" s="179">
        <v>2.9</v>
      </c>
      <c r="Q2090" s="179">
        <f t="shared" si="63"/>
        <v>3.693333333333332</v>
      </c>
      <c r="R2090" s="179" t="s">
        <v>958</v>
      </c>
    </row>
    <row r="2091" spans="1:18" x14ac:dyDescent="0.15">
      <c r="A2091" s="179" t="str">
        <f t="shared" si="62"/>
        <v>Veracruz_Optimal Summer_112.5</v>
      </c>
      <c r="B2091" s="179" t="s">
        <v>673</v>
      </c>
      <c r="C2091" s="179">
        <v>4</v>
      </c>
      <c r="D2091" s="179">
        <v>112.5</v>
      </c>
      <c r="E2091" s="179">
        <v>3.3</v>
      </c>
      <c r="F2091" s="179">
        <v>3.77</v>
      </c>
      <c r="G2091" s="179">
        <v>4.26</v>
      </c>
      <c r="H2091" s="179">
        <v>4.6100000000000003</v>
      </c>
      <c r="I2091" s="179">
        <v>4.72</v>
      </c>
      <c r="J2091" s="179">
        <v>4.4400000000000004</v>
      </c>
      <c r="K2091" s="179">
        <v>4.6100000000000003</v>
      </c>
      <c r="L2091" s="179">
        <v>4.32</v>
      </c>
      <c r="M2091" s="179">
        <v>3.88</v>
      </c>
      <c r="N2091" s="179">
        <v>3.81</v>
      </c>
      <c r="O2091" s="179">
        <v>3.56</v>
      </c>
      <c r="P2091" s="179">
        <v>3.18</v>
      </c>
      <c r="Q2091" s="179">
        <f t="shared" si="63"/>
        <v>4.038333333333334</v>
      </c>
      <c r="R2091" s="179" t="s">
        <v>958</v>
      </c>
    </row>
    <row r="2092" spans="1:18" x14ac:dyDescent="0.15">
      <c r="A2092" s="179" t="str">
        <f t="shared" si="62"/>
        <v>Veracruz_Optimal Summer_135</v>
      </c>
      <c r="B2092" s="179" t="s">
        <v>673</v>
      </c>
      <c r="C2092" s="179">
        <v>4</v>
      </c>
      <c r="D2092" s="179">
        <v>135</v>
      </c>
      <c r="E2092" s="179">
        <v>3.58</v>
      </c>
      <c r="F2092" s="179">
        <v>4.09</v>
      </c>
      <c r="G2092" s="179">
        <v>4.63</v>
      </c>
      <c r="H2092" s="179">
        <v>5.01</v>
      </c>
      <c r="I2092" s="179">
        <v>5.12</v>
      </c>
      <c r="J2092" s="179">
        <v>4.82</v>
      </c>
      <c r="K2092" s="179">
        <v>5.01</v>
      </c>
      <c r="L2092" s="179">
        <v>4.6900000000000004</v>
      </c>
      <c r="M2092" s="179">
        <v>4.22</v>
      </c>
      <c r="N2092" s="179">
        <v>4.13</v>
      </c>
      <c r="O2092" s="179">
        <v>3.87</v>
      </c>
      <c r="P2092" s="179">
        <v>3.45</v>
      </c>
      <c r="Q2092" s="179">
        <f t="shared" si="63"/>
        <v>4.3850000000000007</v>
      </c>
      <c r="R2092" s="179" t="s">
        <v>958</v>
      </c>
    </row>
    <row r="2093" spans="1:18" x14ac:dyDescent="0.15">
      <c r="A2093" s="179" t="str">
        <f t="shared" si="62"/>
        <v>Veracruz_Optimal Summer_157.5</v>
      </c>
      <c r="B2093" s="179" t="s">
        <v>673</v>
      </c>
      <c r="C2093" s="179">
        <v>4</v>
      </c>
      <c r="D2093" s="179">
        <v>157.5</v>
      </c>
      <c r="E2093" s="179">
        <v>3.68</v>
      </c>
      <c r="F2093" s="179">
        <v>4.2</v>
      </c>
      <c r="G2093" s="179">
        <v>4.75</v>
      </c>
      <c r="H2093" s="179">
        <v>5.14</v>
      </c>
      <c r="I2093" s="179">
        <v>5.26</v>
      </c>
      <c r="J2093" s="179">
        <v>4.9400000000000004</v>
      </c>
      <c r="K2093" s="179">
        <v>5.14</v>
      </c>
      <c r="L2093" s="179">
        <v>4.82</v>
      </c>
      <c r="M2093" s="179">
        <v>4.33</v>
      </c>
      <c r="N2093" s="179">
        <v>4.24</v>
      </c>
      <c r="O2093" s="179">
        <v>3.97</v>
      </c>
      <c r="P2093" s="179">
        <v>3.54</v>
      </c>
      <c r="Q2093" s="179">
        <f t="shared" si="63"/>
        <v>4.5008333333333335</v>
      </c>
      <c r="R2093" s="179" t="s">
        <v>958</v>
      </c>
    </row>
    <row r="2094" spans="1:18" x14ac:dyDescent="0.15">
      <c r="A2094" s="179" t="str">
        <f t="shared" si="62"/>
        <v>Veracruz_Optimal Summer_180</v>
      </c>
      <c r="B2094" s="179" t="s">
        <v>673</v>
      </c>
      <c r="C2094" s="179">
        <v>4</v>
      </c>
      <c r="D2094" s="179">
        <v>180</v>
      </c>
      <c r="E2094" s="179">
        <v>3.77</v>
      </c>
      <c r="F2094" s="179">
        <v>4.3099999999999996</v>
      </c>
      <c r="G2094" s="179">
        <v>4.87</v>
      </c>
      <c r="H2094" s="179">
        <v>5.27</v>
      </c>
      <c r="I2094" s="179">
        <v>5.39</v>
      </c>
      <c r="J2094" s="179">
        <v>5.07</v>
      </c>
      <c r="K2094" s="179">
        <v>5.27</v>
      </c>
      <c r="L2094" s="179">
        <v>4.9400000000000004</v>
      </c>
      <c r="M2094" s="179">
        <v>4.4400000000000004</v>
      </c>
      <c r="N2094" s="179">
        <v>4.3499999999999996</v>
      </c>
      <c r="O2094" s="179">
        <v>4.07</v>
      </c>
      <c r="P2094" s="179">
        <v>3.63</v>
      </c>
      <c r="Q2094" s="179">
        <f t="shared" si="63"/>
        <v>4.6150000000000002</v>
      </c>
      <c r="R2094" s="179" t="s">
        <v>958</v>
      </c>
    </row>
    <row r="2095" spans="1:18" x14ac:dyDescent="0.15">
      <c r="A2095" s="179" t="str">
        <f t="shared" si="62"/>
        <v>Veracruz_Optimal Summer_202.5</v>
      </c>
      <c r="B2095" s="179" t="s">
        <v>673</v>
      </c>
      <c r="C2095" s="179">
        <v>4</v>
      </c>
      <c r="D2095" s="179">
        <v>202.5</v>
      </c>
      <c r="E2095" s="179">
        <v>3.68</v>
      </c>
      <c r="F2095" s="179">
        <v>4.2</v>
      </c>
      <c r="G2095" s="179">
        <v>4.75</v>
      </c>
      <c r="H2095" s="179">
        <v>5.14</v>
      </c>
      <c r="I2095" s="179">
        <v>5.26</v>
      </c>
      <c r="J2095" s="179">
        <v>4.9400000000000004</v>
      </c>
      <c r="K2095" s="179">
        <v>5.14</v>
      </c>
      <c r="L2095" s="179">
        <v>4.82</v>
      </c>
      <c r="M2095" s="179">
        <v>4.33</v>
      </c>
      <c r="N2095" s="179">
        <v>4.24</v>
      </c>
      <c r="O2095" s="179">
        <v>3.97</v>
      </c>
      <c r="P2095" s="179">
        <v>3.54</v>
      </c>
      <c r="Q2095" s="179">
        <f t="shared" si="63"/>
        <v>4.5008333333333335</v>
      </c>
      <c r="R2095" s="179" t="s">
        <v>958</v>
      </c>
    </row>
    <row r="2096" spans="1:18" x14ac:dyDescent="0.15">
      <c r="A2096" s="179" t="str">
        <f t="shared" si="62"/>
        <v>Veracruz_Optimal Summer_225</v>
      </c>
      <c r="B2096" s="179" t="s">
        <v>673</v>
      </c>
      <c r="C2096" s="179">
        <v>4</v>
      </c>
      <c r="D2096" s="179">
        <v>225</v>
      </c>
      <c r="E2096" s="179">
        <v>3.58</v>
      </c>
      <c r="F2096" s="179">
        <v>4.09</v>
      </c>
      <c r="G2096" s="179">
        <v>4.63</v>
      </c>
      <c r="H2096" s="179">
        <v>5.01</v>
      </c>
      <c r="I2096" s="179">
        <v>5.12</v>
      </c>
      <c r="J2096" s="179">
        <v>4.82</v>
      </c>
      <c r="K2096" s="179">
        <v>5.01</v>
      </c>
      <c r="L2096" s="179">
        <v>4.6900000000000004</v>
      </c>
      <c r="M2096" s="179">
        <v>4.22</v>
      </c>
      <c r="N2096" s="179">
        <v>4.13</v>
      </c>
      <c r="O2096" s="179">
        <v>3.87</v>
      </c>
      <c r="P2096" s="179">
        <v>3.45</v>
      </c>
      <c r="Q2096" s="179">
        <f t="shared" si="63"/>
        <v>4.3850000000000007</v>
      </c>
      <c r="R2096" s="179" t="s">
        <v>958</v>
      </c>
    </row>
    <row r="2097" spans="1:18" x14ac:dyDescent="0.15">
      <c r="A2097" s="179" t="str">
        <f t="shared" si="62"/>
        <v>Veracruz_Optimal Summer_247.5</v>
      </c>
      <c r="B2097" s="179" t="s">
        <v>673</v>
      </c>
      <c r="C2097" s="179">
        <v>4</v>
      </c>
      <c r="D2097" s="179">
        <v>247.5</v>
      </c>
      <c r="E2097" s="179">
        <v>3.3</v>
      </c>
      <c r="F2097" s="179">
        <v>3.77</v>
      </c>
      <c r="G2097" s="179">
        <v>4.26</v>
      </c>
      <c r="H2097" s="179">
        <v>4.6100000000000003</v>
      </c>
      <c r="I2097" s="179">
        <v>4.72</v>
      </c>
      <c r="J2097" s="179">
        <v>4.4400000000000004</v>
      </c>
      <c r="K2097" s="179">
        <v>4.6100000000000003</v>
      </c>
      <c r="L2097" s="179">
        <v>4.32</v>
      </c>
      <c r="M2097" s="179">
        <v>3.88</v>
      </c>
      <c r="N2097" s="179">
        <v>3.81</v>
      </c>
      <c r="O2097" s="179">
        <v>3.56</v>
      </c>
      <c r="P2097" s="179">
        <v>3.18</v>
      </c>
      <c r="Q2097" s="179">
        <f t="shared" si="63"/>
        <v>4.038333333333334</v>
      </c>
      <c r="R2097" s="179" t="s">
        <v>958</v>
      </c>
    </row>
    <row r="2098" spans="1:18" x14ac:dyDescent="0.15">
      <c r="A2098" s="179" t="str">
        <f t="shared" si="62"/>
        <v>Veracruz_Optimal Summer_270</v>
      </c>
      <c r="B2098" s="179" t="s">
        <v>673</v>
      </c>
      <c r="C2098" s="179">
        <v>4</v>
      </c>
      <c r="D2098" s="179">
        <v>270</v>
      </c>
      <c r="E2098" s="179">
        <v>3.02</v>
      </c>
      <c r="F2098" s="179">
        <v>3.45</v>
      </c>
      <c r="G2098" s="179">
        <v>3.9</v>
      </c>
      <c r="H2098" s="179">
        <v>4.22</v>
      </c>
      <c r="I2098" s="179">
        <v>4.3099999999999996</v>
      </c>
      <c r="J2098" s="179">
        <v>4.0599999999999996</v>
      </c>
      <c r="K2098" s="179">
        <v>4.22</v>
      </c>
      <c r="L2098" s="179">
        <v>3.95</v>
      </c>
      <c r="M2098" s="179">
        <v>3.55</v>
      </c>
      <c r="N2098" s="179">
        <v>3.48</v>
      </c>
      <c r="O2098" s="179">
        <v>3.26</v>
      </c>
      <c r="P2098" s="179">
        <v>2.9</v>
      </c>
      <c r="Q2098" s="179">
        <f t="shared" si="63"/>
        <v>3.693333333333332</v>
      </c>
      <c r="R2098" s="179" t="s">
        <v>958</v>
      </c>
    </row>
    <row r="2099" spans="1:18" x14ac:dyDescent="0.15">
      <c r="A2099" s="179" t="str">
        <f t="shared" si="62"/>
        <v>Veracruz_Optimal Year Round_90</v>
      </c>
      <c r="B2099" s="179" t="s">
        <v>673</v>
      </c>
      <c r="C2099" s="179">
        <v>19</v>
      </c>
      <c r="D2099" s="179">
        <v>90</v>
      </c>
      <c r="E2099" s="179">
        <v>3.36</v>
      </c>
      <c r="F2099" s="179">
        <v>3.7</v>
      </c>
      <c r="G2099" s="179">
        <v>4</v>
      </c>
      <c r="H2099" s="179">
        <v>4.1399999999999997</v>
      </c>
      <c r="I2099" s="179">
        <v>4.08</v>
      </c>
      <c r="J2099" s="179">
        <v>4.03</v>
      </c>
      <c r="K2099" s="179">
        <v>4.17</v>
      </c>
      <c r="L2099" s="179">
        <v>3.83</v>
      </c>
      <c r="M2099" s="179">
        <v>3.56</v>
      </c>
      <c r="N2099" s="179">
        <v>3.66</v>
      </c>
      <c r="O2099" s="179">
        <v>3.61</v>
      </c>
      <c r="P2099" s="179">
        <v>3.27</v>
      </c>
      <c r="Q2099" s="179">
        <f t="shared" si="63"/>
        <v>3.7841666666666671</v>
      </c>
      <c r="R2099" s="179" t="s">
        <v>993</v>
      </c>
    </row>
    <row r="2100" spans="1:18" x14ac:dyDescent="0.15">
      <c r="A2100" s="179" t="str">
        <f t="shared" si="62"/>
        <v>Veracruz_Optimal Year Round_112.5</v>
      </c>
      <c r="B2100" s="179" t="s">
        <v>673</v>
      </c>
      <c r="C2100" s="179">
        <v>19</v>
      </c>
      <c r="D2100" s="179">
        <v>112.5</v>
      </c>
      <c r="E2100" s="179">
        <v>3.68</v>
      </c>
      <c r="F2100" s="179">
        <v>4.04</v>
      </c>
      <c r="G2100" s="179">
        <v>4.38</v>
      </c>
      <c r="H2100" s="179">
        <v>4.5199999999999996</v>
      </c>
      <c r="I2100" s="179">
        <v>4.46</v>
      </c>
      <c r="J2100" s="179">
        <v>4.41</v>
      </c>
      <c r="K2100" s="179">
        <v>4.5599999999999996</v>
      </c>
      <c r="L2100" s="179">
        <v>4.1900000000000004</v>
      </c>
      <c r="M2100" s="179">
        <v>3.89</v>
      </c>
      <c r="N2100" s="179">
        <v>4.01</v>
      </c>
      <c r="O2100" s="179">
        <v>3.95</v>
      </c>
      <c r="P2100" s="179">
        <v>3.5</v>
      </c>
      <c r="Q2100" s="179">
        <f t="shared" si="63"/>
        <v>4.1325000000000003</v>
      </c>
      <c r="R2100" s="179" t="s">
        <v>993</v>
      </c>
    </row>
    <row r="2101" spans="1:18" x14ac:dyDescent="0.15">
      <c r="A2101" s="179" t="str">
        <f t="shared" si="62"/>
        <v>Veracruz_Optimal Year Round_135</v>
      </c>
      <c r="B2101" s="179" t="s">
        <v>673</v>
      </c>
      <c r="C2101" s="179">
        <v>19</v>
      </c>
      <c r="D2101" s="179">
        <v>135</v>
      </c>
      <c r="E2101" s="179">
        <v>3.99</v>
      </c>
      <c r="F2101" s="179">
        <v>4.3899999999999997</v>
      </c>
      <c r="G2101" s="179">
        <v>4.75</v>
      </c>
      <c r="H2101" s="179">
        <v>4.91</v>
      </c>
      <c r="I2101" s="179">
        <v>4.84</v>
      </c>
      <c r="J2101" s="179">
        <v>4.79</v>
      </c>
      <c r="K2101" s="179">
        <v>4.95</v>
      </c>
      <c r="L2101" s="179">
        <v>4.55</v>
      </c>
      <c r="M2101" s="179">
        <v>4.2300000000000004</v>
      </c>
      <c r="N2101" s="179">
        <v>4.3499999999999996</v>
      </c>
      <c r="O2101" s="179">
        <v>4.28</v>
      </c>
      <c r="P2101" s="179">
        <v>3.89</v>
      </c>
      <c r="Q2101" s="179">
        <f t="shared" si="63"/>
        <v>4.4933333333333332</v>
      </c>
      <c r="R2101" s="179" t="s">
        <v>993</v>
      </c>
    </row>
    <row r="2102" spans="1:18" x14ac:dyDescent="0.15">
      <c r="A2102" s="179" t="str">
        <f t="shared" si="62"/>
        <v>Veracruz_Optimal Year Round_157.5</v>
      </c>
      <c r="B2102" s="179" t="s">
        <v>673</v>
      </c>
      <c r="C2102" s="179">
        <v>19</v>
      </c>
      <c r="D2102" s="179">
        <v>157.5</v>
      </c>
      <c r="E2102" s="179">
        <v>4.0999999999999996</v>
      </c>
      <c r="F2102" s="179">
        <v>4.5</v>
      </c>
      <c r="G2102" s="179">
        <v>4.88</v>
      </c>
      <c r="H2102" s="179">
        <v>5.04</v>
      </c>
      <c r="I2102" s="179">
        <v>4.97</v>
      </c>
      <c r="J2102" s="179">
        <v>4.91</v>
      </c>
      <c r="K2102" s="179">
        <v>5.08</v>
      </c>
      <c r="L2102" s="179">
        <v>4.67</v>
      </c>
      <c r="M2102" s="179">
        <v>4.34</v>
      </c>
      <c r="N2102" s="179">
        <v>4.47</v>
      </c>
      <c r="O2102" s="179">
        <v>4.4000000000000004</v>
      </c>
      <c r="P2102" s="179">
        <v>3.99</v>
      </c>
      <c r="Q2102" s="179">
        <f t="shared" si="63"/>
        <v>4.6124999999999998</v>
      </c>
      <c r="R2102" s="179" t="s">
        <v>993</v>
      </c>
    </row>
    <row r="2103" spans="1:18" x14ac:dyDescent="0.15">
      <c r="A2103" s="179" t="str">
        <f t="shared" si="62"/>
        <v>Veracruz_Optimal Year Round_180</v>
      </c>
      <c r="B2103" s="179" t="s">
        <v>673</v>
      </c>
      <c r="C2103" s="179">
        <v>19</v>
      </c>
      <c r="D2103" s="179">
        <v>180</v>
      </c>
      <c r="E2103" s="179">
        <v>4.2</v>
      </c>
      <c r="F2103" s="179">
        <v>4.62</v>
      </c>
      <c r="G2103" s="179">
        <v>5</v>
      </c>
      <c r="H2103" s="179">
        <v>5.17</v>
      </c>
      <c r="I2103" s="179">
        <v>5.0999999999999996</v>
      </c>
      <c r="J2103" s="179">
        <v>5.04</v>
      </c>
      <c r="K2103" s="179">
        <v>5.21</v>
      </c>
      <c r="L2103" s="179">
        <v>4.79</v>
      </c>
      <c r="M2103" s="179">
        <v>4.45</v>
      </c>
      <c r="N2103" s="179">
        <v>4.58</v>
      </c>
      <c r="O2103" s="179">
        <v>4.51</v>
      </c>
      <c r="P2103" s="179">
        <v>4.09</v>
      </c>
      <c r="Q2103" s="179">
        <f t="shared" si="63"/>
        <v>4.7300000000000004</v>
      </c>
      <c r="R2103" s="179" t="s">
        <v>993</v>
      </c>
    </row>
    <row r="2104" spans="1:18" x14ac:dyDescent="0.15">
      <c r="A2104" s="179" t="str">
        <f t="shared" si="62"/>
        <v>Veracruz_Optimal Year Round_202.5</v>
      </c>
      <c r="B2104" s="179" t="s">
        <v>673</v>
      </c>
      <c r="C2104" s="179">
        <v>19</v>
      </c>
      <c r="D2104" s="179">
        <v>202.5</v>
      </c>
      <c r="E2104" s="179">
        <v>4.0999999999999996</v>
      </c>
      <c r="F2104" s="179">
        <v>4.5</v>
      </c>
      <c r="G2104" s="179">
        <v>4.88</v>
      </c>
      <c r="H2104" s="179">
        <v>5.04</v>
      </c>
      <c r="I2104" s="179">
        <v>4.97</v>
      </c>
      <c r="J2104" s="179">
        <v>4.91</v>
      </c>
      <c r="K2104" s="179">
        <v>5.08</v>
      </c>
      <c r="L2104" s="179">
        <v>4.67</v>
      </c>
      <c r="M2104" s="179">
        <v>4.34</v>
      </c>
      <c r="N2104" s="179">
        <v>4.47</v>
      </c>
      <c r="O2104" s="179">
        <v>4.4000000000000004</v>
      </c>
      <c r="P2104" s="179">
        <v>3.99</v>
      </c>
      <c r="Q2104" s="179">
        <f t="shared" si="63"/>
        <v>4.6124999999999998</v>
      </c>
      <c r="R2104" s="179" t="s">
        <v>993</v>
      </c>
    </row>
    <row r="2105" spans="1:18" x14ac:dyDescent="0.15">
      <c r="A2105" s="179" t="str">
        <f t="shared" si="62"/>
        <v>Veracruz_Optimal Year Round_225</v>
      </c>
      <c r="B2105" s="179" t="s">
        <v>673</v>
      </c>
      <c r="C2105" s="179">
        <v>19</v>
      </c>
      <c r="D2105" s="179">
        <v>225</v>
      </c>
      <c r="E2105" s="179">
        <v>3.99</v>
      </c>
      <c r="F2105" s="179">
        <v>4.3899999999999997</v>
      </c>
      <c r="G2105" s="179">
        <v>4.75</v>
      </c>
      <c r="H2105" s="179">
        <v>4.91</v>
      </c>
      <c r="I2105" s="179">
        <v>4.84</v>
      </c>
      <c r="J2105" s="179">
        <v>4.79</v>
      </c>
      <c r="K2105" s="179">
        <v>4.95</v>
      </c>
      <c r="L2105" s="179">
        <v>4.55</v>
      </c>
      <c r="M2105" s="179">
        <v>4.2300000000000004</v>
      </c>
      <c r="N2105" s="179">
        <v>4.3499999999999996</v>
      </c>
      <c r="O2105" s="179">
        <v>4.28</v>
      </c>
      <c r="P2105" s="179">
        <v>3.89</v>
      </c>
      <c r="Q2105" s="179">
        <f t="shared" si="63"/>
        <v>4.4933333333333332</v>
      </c>
      <c r="R2105" s="179" t="s">
        <v>993</v>
      </c>
    </row>
    <row r="2106" spans="1:18" x14ac:dyDescent="0.15">
      <c r="A2106" s="179" t="str">
        <f t="shared" si="62"/>
        <v>Veracruz_Optimal Year Round_247.5</v>
      </c>
      <c r="B2106" s="179" t="s">
        <v>673</v>
      </c>
      <c r="C2106" s="179">
        <v>19</v>
      </c>
      <c r="D2106" s="179">
        <v>247.5</v>
      </c>
      <c r="E2106" s="179">
        <v>3.68</v>
      </c>
      <c r="F2106" s="179">
        <v>4.04</v>
      </c>
      <c r="G2106" s="179">
        <v>4.38</v>
      </c>
      <c r="H2106" s="179">
        <v>4.5199999999999996</v>
      </c>
      <c r="I2106" s="179">
        <v>4.46</v>
      </c>
      <c r="J2106" s="179">
        <v>4.41</v>
      </c>
      <c r="K2106" s="179">
        <v>4.5599999999999996</v>
      </c>
      <c r="L2106" s="179">
        <v>4.1900000000000004</v>
      </c>
      <c r="M2106" s="179">
        <v>3.89</v>
      </c>
      <c r="N2106" s="179">
        <v>4.01</v>
      </c>
      <c r="O2106" s="179">
        <v>3.95</v>
      </c>
      <c r="P2106" s="179">
        <v>3.5</v>
      </c>
      <c r="Q2106" s="179">
        <f t="shared" si="63"/>
        <v>4.1325000000000003</v>
      </c>
      <c r="R2106" s="179" t="s">
        <v>993</v>
      </c>
    </row>
    <row r="2107" spans="1:18" x14ac:dyDescent="0.15">
      <c r="A2107" s="179" t="str">
        <f t="shared" si="62"/>
        <v>Veracruz_Optimal Year Round_270</v>
      </c>
      <c r="B2107" s="179" t="s">
        <v>673</v>
      </c>
      <c r="C2107" s="179">
        <v>19</v>
      </c>
      <c r="D2107" s="179">
        <v>270</v>
      </c>
      <c r="E2107" s="179">
        <v>3.36</v>
      </c>
      <c r="F2107" s="179">
        <v>3.7</v>
      </c>
      <c r="G2107" s="179">
        <v>4</v>
      </c>
      <c r="H2107" s="179">
        <v>4.1399999999999997</v>
      </c>
      <c r="I2107" s="179">
        <v>4.08</v>
      </c>
      <c r="J2107" s="179">
        <v>4.03</v>
      </c>
      <c r="K2107" s="179">
        <v>4.17</v>
      </c>
      <c r="L2107" s="179">
        <v>3.83</v>
      </c>
      <c r="M2107" s="179">
        <v>3.56</v>
      </c>
      <c r="N2107" s="179">
        <v>3.66</v>
      </c>
      <c r="O2107" s="179">
        <v>3.61</v>
      </c>
      <c r="P2107" s="179">
        <v>3.27</v>
      </c>
      <c r="Q2107" s="179">
        <f t="shared" si="63"/>
        <v>3.7841666666666671</v>
      </c>
      <c r="R2107" s="179" t="s">
        <v>993</v>
      </c>
    </row>
    <row r="2108" spans="1:18" x14ac:dyDescent="0.15">
      <c r="A2108" s="179" t="str">
        <f t="shared" si="62"/>
        <v>Villahermosa_Flat Surface_90</v>
      </c>
      <c r="B2108" s="179" t="s">
        <v>1166</v>
      </c>
      <c r="C2108" s="179">
        <v>0</v>
      </c>
      <c r="D2108" s="179">
        <v>90</v>
      </c>
      <c r="E2108" s="179">
        <v>4.17</v>
      </c>
      <c r="F2108" s="179">
        <v>4.95</v>
      </c>
      <c r="G2108" s="179">
        <v>5.83</v>
      </c>
      <c r="H2108" s="179">
        <v>6.35</v>
      </c>
      <c r="I2108" s="179">
        <v>6.41</v>
      </c>
      <c r="J2108" s="179">
        <v>6.37</v>
      </c>
      <c r="K2108" s="179">
        <v>6.63</v>
      </c>
      <c r="L2108" s="179">
        <v>6.24</v>
      </c>
      <c r="M2108" s="179">
        <v>5.49</v>
      </c>
      <c r="N2108" s="179">
        <v>4.8</v>
      </c>
      <c r="O2108" s="179">
        <v>4.41</v>
      </c>
      <c r="P2108" s="179">
        <v>3.84</v>
      </c>
      <c r="Q2108" s="179">
        <f t="shared" si="63"/>
        <v>5.4575000000000005</v>
      </c>
      <c r="R2108" s="179" t="s">
        <v>994</v>
      </c>
    </row>
    <row r="2109" spans="1:18" x14ac:dyDescent="0.15">
      <c r="A2109" s="179" t="str">
        <f t="shared" si="62"/>
        <v>Villahermosa_Flat Surface_112.5</v>
      </c>
      <c r="B2109" s="179" t="s">
        <v>1166</v>
      </c>
      <c r="C2109" s="179">
        <v>0</v>
      </c>
      <c r="D2109" s="179">
        <v>112.5</v>
      </c>
      <c r="E2109" s="179">
        <v>4.17</v>
      </c>
      <c r="F2109" s="179">
        <v>4.95</v>
      </c>
      <c r="G2109" s="179">
        <v>5.83</v>
      </c>
      <c r="H2109" s="179">
        <v>6.35</v>
      </c>
      <c r="I2109" s="179">
        <v>6.41</v>
      </c>
      <c r="J2109" s="179">
        <v>6.37</v>
      </c>
      <c r="K2109" s="179">
        <v>6.63</v>
      </c>
      <c r="L2109" s="179">
        <v>6.24</v>
      </c>
      <c r="M2109" s="179">
        <v>5.49</v>
      </c>
      <c r="N2109" s="179">
        <v>4.8</v>
      </c>
      <c r="O2109" s="179">
        <v>4.41</v>
      </c>
      <c r="P2109" s="179">
        <v>3.84</v>
      </c>
      <c r="Q2109" s="179">
        <f t="shared" si="63"/>
        <v>5.4575000000000005</v>
      </c>
      <c r="R2109" s="179" t="s">
        <v>994</v>
      </c>
    </row>
    <row r="2110" spans="1:18" x14ac:dyDescent="0.15">
      <c r="A2110" s="179" t="str">
        <f t="shared" si="62"/>
        <v>Villahermosa_Flat Surface_135</v>
      </c>
      <c r="B2110" s="179" t="s">
        <v>1166</v>
      </c>
      <c r="C2110" s="179">
        <v>0</v>
      </c>
      <c r="D2110" s="179">
        <v>135</v>
      </c>
      <c r="E2110" s="179">
        <v>4.17</v>
      </c>
      <c r="F2110" s="179">
        <v>4.95</v>
      </c>
      <c r="G2110" s="179">
        <v>5.83</v>
      </c>
      <c r="H2110" s="179">
        <v>6.35</v>
      </c>
      <c r="I2110" s="179">
        <v>6.41</v>
      </c>
      <c r="J2110" s="179">
        <v>6.37</v>
      </c>
      <c r="K2110" s="179">
        <v>6.63</v>
      </c>
      <c r="L2110" s="179">
        <v>6.24</v>
      </c>
      <c r="M2110" s="179">
        <v>5.49</v>
      </c>
      <c r="N2110" s="179">
        <v>4.8</v>
      </c>
      <c r="O2110" s="179">
        <v>4.41</v>
      </c>
      <c r="P2110" s="179">
        <v>3.84</v>
      </c>
      <c r="Q2110" s="179">
        <f t="shared" si="63"/>
        <v>5.4575000000000005</v>
      </c>
      <c r="R2110" s="179" t="s">
        <v>994</v>
      </c>
    </row>
    <row r="2111" spans="1:18" x14ac:dyDescent="0.15">
      <c r="A2111" s="179" t="str">
        <f t="shared" si="62"/>
        <v>Villahermosa_Flat Surface_157.5</v>
      </c>
      <c r="B2111" s="179" t="s">
        <v>1166</v>
      </c>
      <c r="C2111" s="179">
        <v>0</v>
      </c>
      <c r="D2111" s="179">
        <v>157.5</v>
      </c>
      <c r="E2111" s="179">
        <v>4.17</v>
      </c>
      <c r="F2111" s="179">
        <v>4.95</v>
      </c>
      <c r="G2111" s="179">
        <v>5.83</v>
      </c>
      <c r="H2111" s="179">
        <v>6.35</v>
      </c>
      <c r="I2111" s="179">
        <v>6.41</v>
      </c>
      <c r="J2111" s="179">
        <v>6.37</v>
      </c>
      <c r="K2111" s="179">
        <v>6.63</v>
      </c>
      <c r="L2111" s="179">
        <v>6.24</v>
      </c>
      <c r="M2111" s="179">
        <v>5.49</v>
      </c>
      <c r="N2111" s="179">
        <v>4.8</v>
      </c>
      <c r="O2111" s="179">
        <v>4.41</v>
      </c>
      <c r="P2111" s="179">
        <v>3.84</v>
      </c>
      <c r="Q2111" s="179">
        <f t="shared" si="63"/>
        <v>5.4575000000000005</v>
      </c>
      <c r="R2111" s="179" t="s">
        <v>994</v>
      </c>
    </row>
    <row r="2112" spans="1:18" x14ac:dyDescent="0.15">
      <c r="A2112" s="179" t="str">
        <f t="shared" si="62"/>
        <v>Villahermosa_Flat Surface_180</v>
      </c>
      <c r="B2112" s="179" t="s">
        <v>1166</v>
      </c>
      <c r="C2112" s="179">
        <v>0</v>
      </c>
      <c r="D2112" s="179">
        <v>180</v>
      </c>
      <c r="E2112" s="179">
        <v>4.17</v>
      </c>
      <c r="F2112" s="179">
        <v>4.95</v>
      </c>
      <c r="G2112" s="179">
        <v>5.83</v>
      </c>
      <c r="H2112" s="179">
        <v>6.35</v>
      </c>
      <c r="I2112" s="179">
        <v>6.41</v>
      </c>
      <c r="J2112" s="179">
        <v>6.37</v>
      </c>
      <c r="K2112" s="179">
        <v>6.63</v>
      </c>
      <c r="L2112" s="179">
        <v>6.24</v>
      </c>
      <c r="M2112" s="179">
        <v>5.49</v>
      </c>
      <c r="N2112" s="179">
        <v>4.8</v>
      </c>
      <c r="O2112" s="179">
        <v>4.41</v>
      </c>
      <c r="P2112" s="179">
        <v>3.84</v>
      </c>
      <c r="Q2112" s="179">
        <f t="shared" si="63"/>
        <v>5.4575000000000005</v>
      </c>
      <c r="R2112" s="179" t="s">
        <v>994</v>
      </c>
    </row>
    <row r="2113" spans="1:18" x14ac:dyDescent="0.15">
      <c r="A2113" s="179" t="str">
        <f t="shared" si="62"/>
        <v>Villahermosa_Flat Surface_202.5</v>
      </c>
      <c r="B2113" s="179" t="s">
        <v>1166</v>
      </c>
      <c r="C2113" s="179">
        <v>0</v>
      </c>
      <c r="D2113" s="179">
        <v>202.5</v>
      </c>
      <c r="E2113" s="179">
        <v>4.17</v>
      </c>
      <c r="F2113" s="179">
        <v>4.95</v>
      </c>
      <c r="G2113" s="179">
        <v>5.83</v>
      </c>
      <c r="H2113" s="179">
        <v>6.35</v>
      </c>
      <c r="I2113" s="179">
        <v>6.41</v>
      </c>
      <c r="J2113" s="179">
        <v>6.37</v>
      </c>
      <c r="K2113" s="179">
        <v>6.63</v>
      </c>
      <c r="L2113" s="179">
        <v>6.24</v>
      </c>
      <c r="M2113" s="179">
        <v>5.49</v>
      </c>
      <c r="N2113" s="179">
        <v>4.8</v>
      </c>
      <c r="O2113" s="179">
        <v>4.41</v>
      </c>
      <c r="P2113" s="179">
        <v>3.84</v>
      </c>
      <c r="Q2113" s="179">
        <f t="shared" si="63"/>
        <v>5.4575000000000005</v>
      </c>
      <c r="R2113" s="179" t="s">
        <v>994</v>
      </c>
    </row>
    <row r="2114" spans="1:18" x14ac:dyDescent="0.15">
      <c r="A2114" s="179" t="str">
        <f t="shared" ref="A2114:A2177" si="64">B2114&amp;"_"&amp;R2114&amp;"_"&amp;D2114</f>
        <v>Villahermosa_Flat Surface_225</v>
      </c>
      <c r="B2114" s="179" t="s">
        <v>1166</v>
      </c>
      <c r="C2114" s="179">
        <v>0</v>
      </c>
      <c r="D2114" s="179">
        <v>225</v>
      </c>
      <c r="E2114" s="179">
        <v>4.17</v>
      </c>
      <c r="F2114" s="179">
        <v>4.95</v>
      </c>
      <c r="G2114" s="179">
        <v>5.83</v>
      </c>
      <c r="H2114" s="179">
        <v>6.35</v>
      </c>
      <c r="I2114" s="179">
        <v>6.41</v>
      </c>
      <c r="J2114" s="179">
        <v>6.37</v>
      </c>
      <c r="K2114" s="179">
        <v>6.63</v>
      </c>
      <c r="L2114" s="179">
        <v>6.24</v>
      </c>
      <c r="M2114" s="179">
        <v>5.49</v>
      </c>
      <c r="N2114" s="179">
        <v>4.8</v>
      </c>
      <c r="O2114" s="179">
        <v>4.41</v>
      </c>
      <c r="P2114" s="179">
        <v>3.84</v>
      </c>
      <c r="Q2114" s="179">
        <f t="shared" ref="Q2114:Q2177" si="65">AVERAGE(E2114:P2114)</f>
        <v>5.4575000000000005</v>
      </c>
      <c r="R2114" s="179" t="s">
        <v>994</v>
      </c>
    </row>
    <row r="2115" spans="1:18" x14ac:dyDescent="0.15">
      <c r="A2115" s="179" t="str">
        <f t="shared" si="64"/>
        <v>Villahermosa_Flat Surface_247.5</v>
      </c>
      <c r="B2115" s="179" t="s">
        <v>1166</v>
      </c>
      <c r="C2115" s="179">
        <v>0</v>
      </c>
      <c r="D2115" s="179">
        <v>247.5</v>
      </c>
      <c r="E2115" s="179">
        <v>4.17</v>
      </c>
      <c r="F2115" s="179">
        <v>4.95</v>
      </c>
      <c r="G2115" s="179">
        <v>5.83</v>
      </c>
      <c r="H2115" s="179">
        <v>6.35</v>
      </c>
      <c r="I2115" s="179">
        <v>6.41</v>
      </c>
      <c r="J2115" s="179">
        <v>6.37</v>
      </c>
      <c r="K2115" s="179">
        <v>6.63</v>
      </c>
      <c r="L2115" s="179">
        <v>6.24</v>
      </c>
      <c r="M2115" s="179">
        <v>5.49</v>
      </c>
      <c r="N2115" s="179">
        <v>4.8</v>
      </c>
      <c r="O2115" s="179">
        <v>4.41</v>
      </c>
      <c r="P2115" s="179">
        <v>3.84</v>
      </c>
      <c r="Q2115" s="179">
        <f t="shared" si="65"/>
        <v>5.4575000000000005</v>
      </c>
      <c r="R2115" s="179" t="s">
        <v>994</v>
      </c>
    </row>
    <row r="2116" spans="1:18" x14ac:dyDescent="0.15">
      <c r="A2116" s="179" t="str">
        <f t="shared" si="64"/>
        <v>Villahermosa_Flat Surface_270</v>
      </c>
      <c r="B2116" s="179" t="s">
        <v>1166</v>
      </c>
      <c r="C2116" s="179">
        <v>0</v>
      </c>
      <c r="D2116" s="179">
        <v>270</v>
      </c>
      <c r="E2116" s="179">
        <v>4.17</v>
      </c>
      <c r="F2116" s="179">
        <v>4.95</v>
      </c>
      <c r="G2116" s="179">
        <v>5.83</v>
      </c>
      <c r="H2116" s="179">
        <v>6.35</v>
      </c>
      <c r="I2116" s="179">
        <v>6.41</v>
      </c>
      <c r="J2116" s="179">
        <v>6.37</v>
      </c>
      <c r="K2116" s="179">
        <v>6.63</v>
      </c>
      <c r="L2116" s="179">
        <v>6.24</v>
      </c>
      <c r="M2116" s="179">
        <v>5.49</v>
      </c>
      <c r="N2116" s="179">
        <v>4.8</v>
      </c>
      <c r="O2116" s="179">
        <v>4.41</v>
      </c>
      <c r="P2116" s="179">
        <v>3.84</v>
      </c>
      <c r="Q2116" s="179">
        <f t="shared" si="65"/>
        <v>5.4575000000000005</v>
      </c>
      <c r="R2116" s="179" t="s">
        <v>994</v>
      </c>
    </row>
    <row r="2117" spans="1:18" x14ac:dyDescent="0.15">
      <c r="A2117" s="179" t="str">
        <f t="shared" si="64"/>
        <v>Villahermosa_Optimal Summer_90</v>
      </c>
      <c r="B2117" s="179" t="s">
        <v>1166</v>
      </c>
      <c r="C2117" s="179">
        <v>3</v>
      </c>
      <c r="D2117" s="179">
        <v>90</v>
      </c>
      <c r="E2117" s="179">
        <v>3.45</v>
      </c>
      <c r="F2117" s="179">
        <v>4.05</v>
      </c>
      <c r="G2117" s="179">
        <v>4.7300000000000004</v>
      </c>
      <c r="H2117" s="179">
        <v>5.09</v>
      </c>
      <c r="I2117" s="179">
        <v>5.14</v>
      </c>
      <c r="J2117" s="179">
        <v>5.13</v>
      </c>
      <c r="K2117" s="179">
        <v>5.34</v>
      </c>
      <c r="L2117" s="179">
        <v>4.99</v>
      </c>
      <c r="M2117" s="179">
        <v>4.43</v>
      </c>
      <c r="N2117" s="179">
        <v>3.91</v>
      </c>
      <c r="O2117" s="179">
        <v>3.63</v>
      </c>
      <c r="P2117" s="179">
        <v>3.18</v>
      </c>
      <c r="Q2117" s="179">
        <f t="shared" si="65"/>
        <v>4.4225000000000003</v>
      </c>
      <c r="R2117" s="179" t="s">
        <v>958</v>
      </c>
    </row>
    <row r="2118" spans="1:18" x14ac:dyDescent="0.15">
      <c r="A2118" s="179" t="str">
        <f t="shared" si="64"/>
        <v>Villahermosa_Optimal Summer_112.5</v>
      </c>
      <c r="B2118" s="179" t="s">
        <v>1166</v>
      </c>
      <c r="C2118" s="179">
        <v>3</v>
      </c>
      <c r="D2118" s="179">
        <v>112.5</v>
      </c>
      <c r="E2118" s="179">
        <v>3.77</v>
      </c>
      <c r="F2118" s="179">
        <v>4.43</v>
      </c>
      <c r="G2118" s="179">
        <v>5.17</v>
      </c>
      <c r="H2118" s="179">
        <v>5.56</v>
      </c>
      <c r="I2118" s="179">
        <v>5.63</v>
      </c>
      <c r="J2118" s="179">
        <v>5.61</v>
      </c>
      <c r="K2118" s="179">
        <v>5.84</v>
      </c>
      <c r="L2118" s="179">
        <v>5.46</v>
      </c>
      <c r="M2118" s="179">
        <v>4.8499999999999996</v>
      </c>
      <c r="N2118" s="179">
        <v>4.28</v>
      </c>
      <c r="O2118" s="179">
        <v>3.97</v>
      </c>
      <c r="P2118" s="179">
        <v>3.48</v>
      </c>
      <c r="Q2118" s="179">
        <f t="shared" si="65"/>
        <v>4.8374999999999995</v>
      </c>
      <c r="R2118" s="179" t="s">
        <v>958</v>
      </c>
    </row>
    <row r="2119" spans="1:18" x14ac:dyDescent="0.15">
      <c r="A2119" s="179" t="str">
        <f t="shared" si="64"/>
        <v>Villahermosa_Optimal Summer_135</v>
      </c>
      <c r="B2119" s="179" t="s">
        <v>1166</v>
      </c>
      <c r="C2119" s="179">
        <v>3</v>
      </c>
      <c r="D2119" s="179">
        <v>135</v>
      </c>
      <c r="E2119" s="179">
        <v>4.09</v>
      </c>
      <c r="F2119" s="179">
        <v>4.8099999999999996</v>
      </c>
      <c r="G2119" s="179">
        <v>5.61</v>
      </c>
      <c r="H2119" s="179">
        <v>6.04</v>
      </c>
      <c r="I2119" s="179">
        <v>6.11</v>
      </c>
      <c r="J2119" s="179">
        <v>6.09</v>
      </c>
      <c r="K2119" s="179">
        <v>6.35</v>
      </c>
      <c r="L2119" s="179">
        <v>5.93</v>
      </c>
      <c r="M2119" s="179">
        <v>5.26</v>
      </c>
      <c r="N2119" s="179">
        <v>4.6500000000000004</v>
      </c>
      <c r="O2119" s="179">
        <v>4.3099999999999996</v>
      </c>
      <c r="P2119" s="179">
        <v>3.78</v>
      </c>
      <c r="Q2119" s="179">
        <f t="shared" si="65"/>
        <v>5.2525000000000004</v>
      </c>
      <c r="R2119" s="179" t="s">
        <v>958</v>
      </c>
    </row>
    <row r="2120" spans="1:18" x14ac:dyDescent="0.15">
      <c r="A2120" s="179" t="str">
        <f t="shared" si="64"/>
        <v>Villahermosa_Optimal Summer_157.5</v>
      </c>
      <c r="B2120" s="179" t="s">
        <v>1166</v>
      </c>
      <c r="C2120" s="179">
        <v>3</v>
      </c>
      <c r="D2120" s="179">
        <v>157.5</v>
      </c>
      <c r="E2120" s="179">
        <v>4.2</v>
      </c>
      <c r="F2120" s="179">
        <v>4.93</v>
      </c>
      <c r="G2120" s="179">
        <v>5.76</v>
      </c>
      <c r="H2120" s="179">
        <v>6.2</v>
      </c>
      <c r="I2120" s="179">
        <v>6.27</v>
      </c>
      <c r="J2120" s="179">
        <v>6.25</v>
      </c>
      <c r="K2120" s="179">
        <v>6.51</v>
      </c>
      <c r="L2120" s="179">
        <v>6.08</v>
      </c>
      <c r="M2120" s="179">
        <v>5.4</v>
      </c>
      <c r="N2120" s="179">
        <v>4.7699999999999996</v>
      </c>
      <c r="O2120" s="179">
        <v>4.43</v>
      </c>
      <c r="P2120" s="179">
        <v>3.88</v>
      </c>
      <c r="Q2120" s="179">
        <f t="shared" si="65"/>
        <v>5.39</v>
      </c>
      <c r="R2120" s="179" t="s">
        <v>958</v>
      </c>
    </row>
    <row r="2121" spans="1:18" x14ac:dyDescent="0.15">
      <c r="A2121" s="179" t="str">
        <f t="shared" si="64"/>
        <v>Villahermosa_Optimal Summer_180</v>
      </c>
      <c r="B2121" s="179" t="s">
        <v>1166</v>
      </c>
      <c r="C2121" s="179">
        <v>3</v>
      </c>
      <c r="D2121" s="179">
        <v>180</v>
      </c>
      <c r="E2121" s="179">
        <v>4.3099999999999996</v>
      </c>
      <c r="F2121" s="179">
        <v>5.0599999999999996</v>
      </c>
      <c r="G2121" s="179">
        <v>5.91</v>
      </c>
      <c r="H2121" s="179">
        <v>6.36</v>
      </c>
      <c r="I2121" s="179">
        <v>6.43</v>
      </c>
      <c r="J2121" s="179">
        <v>6.41</v>
      </c>
      <c r="K2121" s="179">
        <v>6.68</v>
      </c>
      <c r="L2121" s="179">
        <v>6.24</v>
      </c>
      <c r="M2121" s="179">
        <v>5.54</v>
      </c>
      <c r="N2121" s="179">
        <v>4.8899999999999997</v>
      </c>
      <c r="O2121" s="179">
        <v>4.54</v>
      </c>
      <c r="P2121" s="179">
        <v>3.98</v>
      </c>
      <c r="Q2121" s="179">
        <f t="shared" si="65"/>
        <v>5.5291666666666677</v>
      </c>
      <c r="R2121" s="179" t="s">
        <v>958</v>
      </c>
    </row>
    <row r="2122" spans="1:18" x14ac:dyDescent="0.15">
      <c r="A2122" s="179" t="str">
        <f t="shared" si="64"/>
        <v>Villahermosa_Optimal Summer_202.5</v>
      </c>
      <c r="B2122" s="179" t="s">
        <v>1166</v>
      </c>
      <c r="C2122" s="179">
        <v>3</v>
      </c>
      <c r="D2122" s="179">
        <v>202.5</v>
      </c>
      <c r="E2122" s="179">
        <v>4.2</v>
      </c>
      <c r="F2122" s="179">
        <v>4.93</v>
      </c>
      <c r="G2122" s="179">
        <v>5.76</v>
      </c>
      <c r="H2122" s="179">
        <v>6.2</v>
      </c>
      <c r="I2122" s="179">
        <v>6.27</v>
      </c>
      <c r="J2122" s="179">
        <v>6.25</v>
      </c>
      <c r="K2122" s="179">
        <v>6.51</v>
      </c>
      <c r="L2122" s="179">
        <v>6.08</v>
      </c>
      <c r="M2122" s="179">
        <v>5.4</v>
      </c>
      <c r="N2122" s="179">
        <v>4.7699999999999996</v>
      </c>
      <c r="O2122" s="179">
        <v>4.43</v>
      </c>
      <c r="P2122" s="179">
        <v>3.88</v>
      </c>
      <c r="Q2122" s="179">
        <f t="shared" si="65"/>
        <v>5.39</v>
      </c>
      <c r="R2122" s="179" t="s">
        <v>958</v>
      </c>
    </row>
    <row r="2123" spans="1:18" x14ac:dyDescent="0.15">
      <c r="A2123" s="179" t="str">
        <f t="shared" si="64"/>
        <v>Villahermosa_Optimal Summer_225</v>
      </c>
      <c r="B2123" s="179" t="s">
        <v>1166</v>
      </c>
      <c r="C2123" s="179">
        <v>3</v>
      </c>
      <c r="D2123" s="179">
        <v>225</v>
      </c>
      <c r="E2123" s="179">
        <v>4.09</v>
      </c>
      <c r="F2123" s="179">
        <v>4.8099999999999996</v>
      </c>
      <c r="G2123" s="179">
        <v>5.61</v>
      </c>
      <c r="H2123" s="179">
        <v>6.04</v>
      </c>
      <c r="I2123" s="179">
        <v>6.11</v>
      </c>
      <c r="J2123" s="179">
        <v>6.09</v>
      </c>
      <c r="K2123" s="179">
        <v>6.35</v>
      </c>
      <c r="L2123" s="179">
        <v>5.93</v>
      </c>
      <c r="M2123" s="179">
        <v>5.26</v>
      </c>
      <c r="N2123" s="179">
        <v>4.6500000000000004</v>
      </c>
      <c r="O2123" s="179">
        <v>4.3099999999999996</v>
      </c>
      <c r="P2123" s="179">
        <v>3.78</v>
      </c>
      <c r="Q2123" s="179">
        <f t="shared" si="65"/>
        <v>5.2525000000000004</v>
      </c>
      <c r="R2123" s="179" t="s">
        <v>958</v>
      </c>
    </row>
    <row r="2124" spans="1:18" x14ac:dyDescent="0.15">
      <c r="A2124" s="179" t="str">
        <f t="shared" si="64"/>
        <v>Villahermosa_Optimal Summer_247.5</v>
      </c>
      <c r="B2124" s="179" t="s">
        <v>1166</v>
      </c>
      <c r="C2124" s="179">
        <v>3</v>
      </c>
      <c r="D2124" s="179">
        <v>247.5</v>
      </c>
      <c r="E2124" s="179">
        <v>3.77</v>
      </c>
      <c r="F2124" s="179">
        <v>4.43</v>
      </c>
      <c r="G2124" s="179">
        <v>5.17</v>
      </c>
      <c r="H2124" s="179">
        <v>5.56</v>
      </c>
      <c r="I2124" s="179">
        <v>5.63</v>
      </c>
      <c r="J2124" s="179">
        <v>5.61</v>
      </c>
      <c r="K2124" s="179">
        <v>5.84</v>
      </c>
      <c r="L2124" s="179">
        <v>5.46</v>
      </c>
      <c r="M2124" s="179">
        <v>4.8499999999999996</v>
      </c>
      <c r="N2124" s="179">
        <v>4.28</v>
      </c>
      <c r="O2124" s="179">
        <v>3.97</v>
      </c>
      <c r="P2124" s="179">
        <v>3.48</v>
      </c>
      <c r="Q2124" s="179">
        <f t="shared" si="65"/>
        <v>4.8374999999999995</v>
      </c>
      <c r="R2124" s="179" t="s">
        <v>958</v>
      </c>
    </row>
    <row r="2125" spans="1:18" x14ac:dyDescent="0.15">
      <c r="A2125" s="179" t="str">
        <f t="shared" si="64"/>
        <v>Villahermosa_Optimal Summer_270</v>
      </c>
      <c r="B2125" s="179" t="s">
        <v>1166</v>
      </c>
      <c r="C2125" s="179">
        <v>3</v>
      </c>
      <c r="D2125" s="179">
        <v>270</v>
      </c>
      <c r="E2125" s="179">
        <v>3.45</v>
      </c>
      <c r="F2125" s="179">
        <v>4.05</v>
      </c>
      <c r="G2125" s="179">
        <v>4.7300000000000004</v>
      </c>
      <c r="H2125" s="179">
        <v>5.09</v>
      </c>
      <c r="I2125" s="179">
        <v>5.14</v>
      </c>
      <c r="J2125" s="179">
        <v>5.13</v>
      </c>
      <c r="K2125" s="179">
        <v>5.34</v>
      </c>
      <c r="L2125" s="179">
        <v>4.99</v>
      </c>
      <c r="M2125" s="179">
        <v>4.43</v>
      </c>
      <c r="N2125" s="179">
        <v>3.91</v>
      </c>
      <c r="O2125" s="179">
        <v>3.63</v>
      </c>
      <c r="P2125" s="179">
        <v>3.18</v>
      </c>
      <c r="Q2125" s="179">
        <f t="shared" si="65"/>
        <v>4.4225000000000003</v>
      </c>
      <c r="R2125" s="179" t="s">
        <v>958</v>
      </c>
    </row>
    <row r="2126" spans="1:18" x14ac:dyDescent="0.15">
      <c r="A2126" s="179" t="str">
        <f t="shared" si="64"/>
        <v>Villahermosa_Optimal Year Round_90</v>
      </c>
      <c r="B2126" s="179" t="s">
        <v>1166</v>
      </c>
      <c r="C2126" s="179">
        <v>18</v>
      </c>
      <c r="D2126" s="179">
        <v>90</v>
      </c>
      <c r="E2126" s="179">
        <v>3.89</v>
      </c>
      <c r="F2126" s="179">
        <v>4.4000000000000004</v>
      </c>
      <c r="G2126" s="179">
        <v>4.88</v>
      </c>
      <c r="H2126" s="179">
        <v>4.99</v>
      </c>
      <c r="I2126" s="179">
        <v>5.07</v>
      </c>
      <c r="J2126" s="179">
        <v>5.16</v>
      </c>
      <c r="K2126" s="179">
        <v>5.35</v>
      </c>
      <c r="L2126" s="179">
        <v>4.82</v>
      </c>
      <c r="M2126" s="179">
        <v>4.47</v>
      </c>
      <c r="N2126" s="179">
        <v>4.1500000000000004</v>
      </c>
      <c r="O2126" s="179">
        <v>4.07</v>
      </c>
      <c r="P2126" s="179">
        <v>3.62</v>
      </c>
      <c r="Q2126" s="179">
        <f t="shared" si="65"/>
        <v>4.5724999999999998</v>
      </c>
      <c r="R2126" s="179" t="s">
        <v>993</v>
      </c>
    </row>
    <row r="2127" spans="1:18" x14ac:dyDescent="0.15">
      <c r="A2127" s="179" t="str">
        <f t="shared" si="64"/>
        <v>Villahermosa_Optimal Year Round_112.5</v>
      </c>
      <c r="B2127" s="179" t="s">
        <v>1166</v>
      </c>
      <c r="C2127" s="179">
        <v>18</v>
      </c>
      <c r="D2127" s="179">
        <v>112.5</v>
      </c>
      <c r="E2127" s="179">
        <v>4.25</v>
      </c>
      <c r="F2127" s="179">
        <v>4.8099999999999996</v>
      </c>
      <c r="G2127" s="179">
        <v>5.34</v>
      </c>
      <c r="H2127" s="179">
        <v>5.46</v>
      </c>
      <c r="I2127" s="179">
        <v>5.55</v>
      </c>
      <c r="J2127" s="179">
        <v>5.64</v>
      </c>
      <c r="K2127" s="179">
        <v>5.85</v>
      </c>
      <c r="L2127" s="179">
        <v>5.27</v>
      </c>
      <c r="M2127" s="179">
        <v>4.8899999999999997</v>
      </c>
      <c r="N2127" s="179">
        <v>4.54</v>
      </c>
      <c r="O2127" s="179">
        <v>4.45</v>
      </c>
      <c r="P2127" s="179">
        <v>3.96</v>
      </c>
      <c r="Q2127" s="179">
        <f t="shared" si="65"/>
        <v>5.0008333333333335</v>
      </c>
      <c r="R2127" s="179" t="s">
        <v>993</v>
      </c>
    </row>
    <row r="2128" spans="1:18" x14ac:dyDescent="0.15">
      <c r="A2128" s="179" t="str">
        <f t="shared" si="64"/>
        <v>Villahermosa_Optimal Year Round_135</v>
      </c>
      <c r="B2128" s="179" t="s">
        <v>1166</v>
      </c>
      <c r="C2128" s="179">
        <v>18</v>
      </c>
      <c r="D2128" s="179">
        <v>135</v>
      </c>
      <c r="E2128" s="179">
        <v>4.62</v>
      </c>
      <c r="F2128" s="179">
        <v>5.22</v>
      </c>
      <c r="G2128" s="179">
        <v>5.8</v>
      </c>
      <c r="H2128" s="179">
        <v>5.93</v>
      </c>
      <c r="I2128" s="179">
        <v>6.02</v>
      </c>
      <c r="J2128" s="179">
        <v>6.13</v>
      </c>
      <c r="K2128" s="179">
        <v>6.36</v>
      </c>
      <c r="L2128" s="179">
        <v>5.72</v>
      </c>
      <c r="M2128" s="179">
        <v>5.31</v>
      </c>
      <c r="N2128" s="179">
        <v>4.93</v>
      </c>
      <c r="O2128" s="179">
        <v>4.84</v>
      </c>
      <c r="P2128" s="179">
        <v>4.3</v>
      </c>
      <c r="Q2128" s="179">
        <f t="shared" si="65"/>
        <v>5.4316666666666658</v>
      </c>
      <c r="R2128" s="179" t="s">
        <v>993</v>
      </c>
    </row>
    <row r="2129" spans="1:18" x14ac:dyDescent="0.15">
      <c r="A2129" s="179" t="str">
        <f t="shared" si="64"/>
        <v>Villahermosa_Optimal Year Round_157.5</v>
      </c>
      <c r="B2129" s="179" t="s">
        <v>1166</v>
      </c>
      <c r="C2129" s="179">
        <v>18</v>
      </c>
      <c r="D2129" s="179">
        <v>157.5</v>
      </c>
      <c r="E2129" s="179">
        <v>4.74</v>
      </c>
      <c r="F2129" s="179">
        <v>5.36</v>
      </c>
      <c r="G2129" s="179">
        <v>5.95</v>
      </c>
      <c r="H2129" s="179">
        <v>6.08</v>
      </c>
      <c r="I2129" s="179">
        <v>6.18</v>
      </c>
      <c r="J2129" s="179">
        <v>6.29</v>
      </c>
      <c r="K2129" s="179">
        <v>6.52</v>
      </c>
      <c r="L2129" s="179">
        <v>5.87</v>
      </c>
      <c r="M2129" s="179">
        <v>5.45</v>
      </c>
      <c r="N2129" s="179">
        <v>5.0599999999999996</v>
      </c>
      <c r="O2129" s="179">
        <v>4.96</v>
      </c>
      <c r="P2129" s="179">
        <v>4.42</v>
      </c>
      <c r="Q2129" s="179">
        <f t="shared" si="65"/>
        <v>5.5733333333333341</v>
      </c>
      <c r="R2129" s="179" t="s">
        <v>993</v>
      </c>
    </row>
    <row r="2130" spans="1:18" x14ac:dyDescent="0.15">
      <c r="A2130" s="179" t="str">
        <f t="shared" si="64"/>
        <v>Villahermosa_Optimal Year Round_180</v>
      </c>
      <c r="B2130" s="179" t="s">
        <v>1166</v>
      </c>
      <c r="C2130" s="179">
        <v>18</v>
      </c>
      <c r="D2130" s="179">
        <v>180</v>
      </c>
      <c r="E2130" s="179">
        <v>4.8600000000000003</v>
      </c>
      <c r="F2130" s="179">
        <v>5.5</v>
      </c>
      <c r="G2130" s="179">
        <v>6.1</v>
      </c>
      <c r="H2130" s="179">
        <v>6.24</v>
      </c>
      <c r="I2130" s="179">
        <v>6.34</v>
      </c>
      <c r="J2130" s="179">
        <v>6.45</v>
      </c>
      <c r="K2130" s="179">
        <v>6.69</v>
      </c>
      <c r="L2130" s="179">
        <v>6.02</v>
      </c>
      <c r="M2130" s="179">
        <v>5.59</v>
      </c>
      <c r="N2130" s="179">
        <v>5.19</v>
      </c>
      <c r="O2130" s="179">
        <v>5.09</v>
      </c>
      <c r="P2130" s="179">
        <v>4.53</v>
      </c>
      <c r="Q2130" s="179">
        <f t="shared" si="65"/>
        <v>5.7166666666666677</v>
      </c>
      <c r="R2130" s="179" t="s">
        <v>993</v>
      </c>
    </row>
    <row r="2131" spans="1:18" x14ac:dyDescent="0.15">
      <c r="A2131" s="179" t="str">
        <f t="shared" si="64"/>
        <v>Villahermosa_Optimal Year Round_202.5</v>
      </c>
      <c r="B2131" s="179" t="s">
        <v>1166</v>
      </c>
      <c r="C2131" s="179">
        <v>18</v>
      </c>
      <c r="D2131" s="179">
        <v>202.5</v>
      </c>
      <c r="E2131" s="179">
        <v>4.74</v>
      </c>
      <c r="F2131" s="179">
        <v>5.36</v>
      </c>
      <c r="G2131" s="179">
        <v>5.95</v>
      </c>
      <c r="H2131" s="179">
        <v>6.08</v>
      </c>
      <c r="I2131" s="179">
        <v>6.18</v>
      </c>
      <c r="J2131" s="179">
        <v>6.29</v>
      </c>
      <c r="K2131" s="179">
        <v>6.52</v>
      </c>
      <c r="L2131" s="179">
        <v>5.87</v>
      </c>
      <c r="M2131" s="179">
        <v>5.45</v>
      </c>
      <c r="N2131" s="179">
        <v>5.0599999999999996</v>
      </c>
      <c r="O2131" s="179">
        <v>4.96</v>
      </c>
      <c r="P2131" s="179">
        <v>4.42</v>
      </c>
      <c r="Q2131" s="179">
        <f t="shared" si="65"/>
        <v>5.5733333333333341</v>
      </c>
      <c r="R2131" s="179" t="s">
        <v>993</v>
      </c>
    </row>
    <row r="2132" spans="1:18" x14ac:dyDescent="0.15">
      <c r="A2132" s="179" t="str">
        <f t="shared" si="64"/>
        <v>Villahermosa_Optimal Year Round_225</v>
      </c>
      <c r="B2132" s="179" t="s">
        <v>1166</v>
      </c>
      <c r="C2132" s="179">
        <v>18</v>
      </c>
      <c r="D2132" s="179">
        <v>225</v>
      </c>
      <c r="E2132" s="179">
        <v>4.62</v>
      </c>
      <c r="F2132" s="179">
        <v>5.22</v>
      </c>
      <c r="G2132" s="179">
        <v>5.8</v>
      </c>
      <c r="H2132" s="179">
        <v>5.93</v>
      </c>
      <c r="I2132" s="179">
        <v>6.02</v>
      </c>
      <c r="J2132" s="179">
        <v>6.13</v>
      </c>
      <c r="K2132" s="179">
        <v>6.36</v>
      </c>
      <c r="L2132" s="179">
        <v>5.72</v>
      </c>
      <c r="M2132" s="179">
        <v>5.31</v>
      </c>
      <c r="N2132" s="179">
        <v>4.93</v>
      </c>
      <c r="O2132" s="179">
        <v>4.84</v>
      </c>
      <c r="P2132" s="179">
        <v>4.3</v>
      </c>
      <c r="Q2132" s="179">
        <f t="shared" si="65"/>
        <v>5.4316666666666658</v>
      </c>
      <c r="R2132" s="179" t="s">
        <v>993</v>
      </c>
    </row>
    <row r="2133" spans="1:18" x14ac:dyDescent="0.15">
      <c r="A2133" s="179" t="str">
        <f t="shared" si="64"/>
        <v>Villahermosa_Optimal Year Round_247.5</v>
      </c>
      <c r="B2133" s="179" t="s">
        <v>1166</v>
      </c>
      <c r="C2133" s="179">
        <v>18</v>
      </c>
      <c r="D2133" s="179">
        <v>247.5</v>
      </c>
      <c r="E2133" s="179">
        <v>4.25</v>
      </c>
      <c r="F2133" s="179">
        <v>4.8099999999999996</v>
      </c>
      <c r="G2133" s="179">
        <v>5.34</v>
      </c>
      <c r="H2133" s="179">
        <v>5.46</v>
      </c>
      <c r="I2133" s="179">
        <v>5.55</v>
      </c>
      <c r="J2133" s="179">
        <v>5.64</v>
      </c>
      <c r="K2133" s="179">
        <v>5.85</v>
      </c>
      <c r="L2133" s="179">
        <v>5.27</v>
      </c>
      <c r="M2133" s="179">
        <v>4.8899999999999997</v>
      </c>
      <c r="N2133" s="179">
        <v>4.54</v>
      </c>
      <c r="O2133" s="179">
        <v>4.45</v>
      </c>
      <c r="P2133" s="179">
        <v>3.96</v>
      </c>
      <c r="Q2133" s="179">
        <f t="shared" si="65"/>
        <v>5.0008333333333335</v>
      </c>
      <c r="R2133" s="179" t="s">
        <v>993</v>
      </c>
    </row>
    <row r="2134" spans="1:18" x14ac:dyDescent="0.15">
      <c r="A2134" s="179" t="str">
        <f t="shared" si="64"/>
        <v>Villahermosa_Optimal Year Round_270</v>
      </c>
      <c r="B2134" s="179" t="s">
        <v>1166</v>
      </c>
      <c r="C2134" s="179">
        <v>18</v>
      </c>
      <c r="D2134" s="179">
        <v>270</v>
      </c>
      <c r="E2134" s="179">
        <v>3.89</v>
      </c>
      <c r="F2134" s="179">
        <v>4.4000000000000004</v>
      </c>
      <c r="G2134" s="179">
        <v>4.88</v>
      </c>
      <c r="H2134" s="179">
        <v>4.99</v>
      </c>
      <c r="I2134" s="179">
        <v>5.07</v>
      </c>
      <c r="J2134" s="179">
        <v>5.16</v>
      </c>
      <c r="K2134" s="179">
        <v>5.35</v>
      </c>
      <c r="L2134" s="179">
        <v>4.82</v>
      </c>
      <c r="M2134" s="179">
        <v>4.47</v>
      </c>
      <c r="N2134" s="179">
        <v>4.1500000000000004</v>
      </c>
      <c r="O2134" s="179">
        <v>4.07</v>
      </c>
      <c r="P2134" s="179">
        <v>3.62</v>
      </c>
      <c r="Q2134" s="179">
        <f t="shared" si="65"/>
        <v>4.5724999999999998</v>
      </c>
      <c r="R2134" s="179" t="s">
        <v>993</v>
      </c>
    </row>
    <row r="2135" spans="1:18" x14ac:dyDescent="0.15">
      <c r="A2135" s="179" t="str">
        <f t="shared" si="64"/>
        <v>Xochimilco_Flat Surface_90</v>
      </c>
      <c r="B2135" s="429" t="s">
        <v>1167</v>
      </c>
      <c r="C2135" s="429">
        <v>0</v>
      </c>
      <c r="D2135" s="429">
        <v>90</v>
      </c>
      <c r="E2135" s="431">
        <v>4.74</v>
      </c>
      <c r="F2135" s="431">
        <v>5.68</v>
      </c>
      <c r="G2135" s="431">
        <v>6.47</v>
      </c>
      <c r="H2135" s="431">
        <v>6.38</v>
      </c>
      <c r="I2135" s="431">
        <v>6.21</v>
      </c>
      <c r="J2135" s="431">
        <v>5.57</v>
      </c>
      <c r="K2135" s="431">
        <v>5.48</v>
      </c>
      <c r="L2135" s="431">
        <v>5.31</v>
      </c>
      <c r="M2135" s="431">
        <v>4.88</v>
      </c>
      <c r="N2135" s="431">
        <v>4.87</v>
      </c>
      <c r="O2135" s="431">
        <v>4.7699999999999996</v>
      </c>
      <c r="P2135" s="431">
        <v>4.34</v>
      </c>
      <c r="Q2135" s="179">
        <f t="shared" si="65"/>
        <v>5.3916666666666666</v>
      </c>
      <c r="R2135" s="179" t="s">
        <v>994</v>
      </c>
    </row>
    <row r="2136" spans="1:18" x14ac:dyDescent="0.15">
      <c r="A2136" s="179" t="str">
        <f t="shared" si="64"/>
        <v>Xochimilco_Flat Surface_112.5</v>
      </c>
      <c r="B2136" s="429" t="s">
        <v>1167</v>
      </c>
      <c r="C2136" s="429">
        <v>0</v>
      </c>
      <c r="D2136" s="429">
        <v>112.5</v>
      </c>
      <c r="E2136" s="431">
        <v>4.74</v>
      </c>
      <c r="F2136" s="431">
        <v>5.68</v>
      </c>
      <c r="G2136" s="431">
        <v>6.47</v>
      </c>
      <c r="H2136" s="431">
        <v>6.38</v>
      </c>
      <c r="I2136" s="431">
        <v>6.21</v>
      </c>
      <c r="J2136" s="431">
        <v>5.57</v>
      </c>
      <c r="K2136" s="431">
        <v>5.48</v>
      </c>
      <c r="L2136" s="431">
        <v>5.31</v>
      </c>
      <c r="M2136" s="431">
        <v>4.88</v>
      </c>
      <c r="N2136" s="431">
        <v>4.87</v>
      </c>
      <c r="O2136" s="431">
        <v>4.7699999999999996</v>
      </c>
      <c r="P2136" s="431">
        <v>4.34</v>
      </c>
      <c r="Q2136" s="179">
        <f t="shared" si="65"/>
        <v>5.3916666666666666</v>
      </c>
      <c r="R2136" s="179" t="s">
        <v>994</v>
      </c>
    </row>
    <row r="2137" spans="1:18" x14ac:dyDescent="0.15">
      <c r="A2137" s="179" t="str">
        <f t="shared" si="64"/>
        <v>Xochimilco_Flat Surface_135</v>
      </c>
      <c r="B2137" s="429" t="s">
        <v>1167</v>
      </c>
      <c r="C2137" s="429">
        <v>0</v>
      </c>
      <c r="D2137" s="429">
        <v>135</v>
      </c>
      <c r="E2137" s="431">
        <v>4.74</v>
      </c>
      <c r="F2137" s="431">
        <v>5.68</v>
      </c>
      <c r="G2137" s="431">
        <v>6.47</v>
      </c>
      <c r="H2137" s="431">
        <v>6.38</v>
      </c>
      <c r="I2137" s="431">
        <v>6.21</v>
      </c>
      <c r="J2137" s="431">
        <v>5.57</v>
      </c>
      <c r="K2137" s="431">
        <v>5.48</v>
      </c>
      <c r="L2137" s="431">
        <v>5.31</v>
      </c>
      <c r="M2137" s="431">
        <v>4.88</v>
      </c>
      <c r="N2137" s="431">
        <v>4.87</v>
      </c>
      <c r="O2137" s="431">
        <v>4.7699999999999996</v>
      </c>
      <c r="P2137" s="431">
        <v>4.34</v>
      </c>
      <c r="Q2137" s="179">
        <f t="shared" si="65"/>
        <v>5.3916666666666666</v>
      </c>
      <c r="R2137" s="179" t="s">
        <v>994</v>
      </c>
    </row>
    <row r="2138" spans="1:18" x14ac:dyDescent="0.15">
      <c r="A2138" s="179" t="str">
        <f t="shared" si="64"/>
        <v>Xochimilco_Flat Surface_157.5</v>
      </c>
      <c r="B2138" s="429" t="s">
        <v>1167</v>
      </c>
      <c r="C2138" s="429">
        <v>0</v>
      </c>
      <c r="D2138" s="429">
        <v>157.5</v>
      </c>
      <c r="E2138" s="431">
        <v>4.74</v>
      </c>
      <c r="F2138" s="431">
        <v>5.68</v>
      </c>
      <c r="G2138" s="431">
        <v>6.47</v>
      </c>
      <c r="H2138" s="431">
        <v>6.38</v>
      </c>
      <c r="I2138" s="431">
        <v>6.21</v>
      </c>
      <c r="J2138" s="431">
        <v>5.57</v>
      </c>
      <c r="K2138" s="431">
        <v>5.48</v>
      </c>
      <c r="L2138" s="431">
        <v>5.31</v>
      </c>
      <c r="M2138" s="431">
        <v>4.88</v>
      </c>
      <c r="N2138" s="431">
        <v>4.87</v>
      </c>
      <c r="O2138" s="431">
        <v>4.7699999999999996</v>
      </c>
      <c r="P2138" s="431">
        <v>4.34</v>
      </c>
      <c r="Q2138" s="179">
        <f t="shared" si="65"/>
        <v>5.3916666666666666</v>
      </c>
      <c r="R2138" s="179" t="s">
        <v>994</v>
      </c>
    </row>
    <row r="2139" spans="1:18" x14ac:dyDescent="0.15">
      <c r="A2139" s="179" t="str">
        <f t="shared" si="64"/>
        <v>Xochimilco_Flat Surface_180</v>
      </c>
      <c r="B2139" s="429" t="s">
        <v>1167</v>
      </c>
      <c r="C2139" s="429">
        <v>0</v>
      </c>
      <c r="D2139" s="429">
        <v>180</v>
      </c>
      <c r="E2139" s="431">
        <v>4.74</v>
      </c>
      <c r="F2139" s="431">
        <v>5.68</v>
      </c>
      <c r="G2139" s="431">
        <v>6.47</v>
      </c>
      <c r="H2139" s="431">
        <v>6.38</v>
      </c>
      <c r="I2139" s="431">
        <v>6.21</v>
      </c>
      <c r="J2139" s="431">
        <v>5.57</v>
      </c>
      <c r="K2139" s="431">
        <v>5.48</v>
      </c>
      <c r="L2139" s="431">
        <v>5.31</v>
      </c>
      <c r="M2139" s="431">
        <v>4.88</v>
      </c>
      <c r="N2139" s="431">
        <v>4.87</v>
      </c>
      <c r="O2139" s="431">
        <v>4.7699999999999996</v>
      </c>
      <c r="P2139" s="431">
        <v>4.34</v>
      </c>
      <c r="Q2139" s="179">
        <f t="shared" si="65"/>
        <v>5.3916666666666666</v>
      </c>
      <c r="R2139" s="179" t="s">
        <v>994</v>
      </c>
    </row>
    <row r="2140" spans="1:18" x14ac:dyDescent="0.15">
      <c r="A2140" s="179" t="str">
        <f t="shared" si="64"/>
        <v>Xochimilco_Flat Surface_202.5</v>
      </c>
      <c r="B2140" s="429" t="s">
        <v>1167</v>
      </c>
      <c r="C2140" s="429">
        <v>0</v>
      </c>
      <c r="D2140" s="429">
        <v>202.5</v>
      </c>
      <c r="E2140" s="431">
        <v>4.74</v>
      </c>
      <c r="F2140" s="431">
        <v>5.68</v>
      </c>
      <c r="G2140" s="431">
        <v>6.47</v>
      </c>
      <c r="H2140" s="431">
        <v>6.38</v>
      </c>
      <c r="I2140" s="431">
        <v>6.21</v>
      </c>
      <c r="J2140" s="431">
        <v>5.57</v>
      </c>
      <c r="K2140" s="431">
        <v>5.48</v>
      </c>
      <c r="L2140" s="431">
        <v>5.31</v>
      </c>
      <c r="M2140" s="431">
        <v>4.88</v>
      </c>
      <c r="N2140" s="431">
        <v>4.87</v>
      </c>
      <c r="O2140" s="431">
        <v>4.7699999999999996</v>
      </c>
      <c r="P2140" s="431">
        <v>4.34</v>
      </c>
      <c r="Q2140" s="179">
        <f t="shared" si="65"/>
        <v>5.3916666666666666</v>
      </c>
      <c r="R2140" s="179" t="s">
        <v>994</v>
      </c>
    </row>
    <row r="2141" spans="1:18" x14ac:dyDescent="0.15">
      <c r="A2141" s="179" t="str">
        <f t="shared" si="64"/>
        <v>Xochimilco_Flat Surface_225</v>
      </c>
      <c r="B2141" s="429" t="s">
        <v>1167</v>
      </c>
      <c r="C2141" s="429">
        <v>0</v>
      </c>
      <c r="D2141" s="429">
        <v>225</v>
      </c>
      <c r="E2141" s="431">
        <v>4.74</v>
      </c>
      <c r="F2141" s="431">
        <v>5.68</v>
      </c>
      <c r="G2141" s="431">
        <v>6.47</v>
      </c>
      <c r="H2141" s="431">
        <v>6.38</v>
      </c>
      <c r="I2141" s="431">
        <v>6.21</v>
      </c>
      <c r="J2141" s="431">
        <v>5.57</v>
      </c>
      <c r="K2141" s="431">
        <v>5.48</v>
      </c>
      <c r="L2141" s="431">
        <v>5.31</v>
      </c>
      <c r="M2141" s="431">
        <v>4.88</v>
      </c>
      <c r="N2141" s="431">
        <v>4.87</v>
      </c>
      <c r="O2141" s="431">
        <v>4.7699999999999996</v>
      </c>
      <c r="P2141" s="431">
        <v>4.34</v>
      </c>
      <c r="Q2141" s="179">
        <f t="shared" si="65"/>
        <v>5.3916666666666666</v>
      </c>
      <c r="R2141" s="179" t="s">
        <v>994</v>
      </c>
    </row>
    <row r="2142" spans="1:18" x14ac:dyDescent="0.15">
      <c r="A2142" s="179" t="str">
        <f t="shared" si="64"/>
        <v>Xochimilco_Flat Surface_247.5</v>
      </c>
      <c r="B2142" s="429" t="s">
        <v>1167</v>
      </c>
      <c r="C2142" s="429">
        <v>0</v>
      </c>
      <c r="D2142" s="429">
        <v>247.5</v>
      </c>
      <c r="E2142" s="431">
        <v>4.74</v>
      </c>
      <c r="F2142" s="431">
        <v>5.68</v>
      </c>
      <c r="G2142" s="431">
        <v>6.47</v>
      </c>
      <c r="H2142" s="431">
        <v>6.38</v>
      </c>
      <c r="I2142" s="431">
        <v>6.21</v>
      </c>
      <c r="J2142" s="431">
        <v>5.57</v>
      </c>
      <c r="K2142" s="431">
        <v>5.48</v>
      </c>
      <c r="L2142" s="431">
        <v>5.31</v>
      </c>
      <c r="M2142" s="431">
        <v>4.88</v>
      </c>
      <c r="N2142" s="431">
        <v>4.87</v>
      </c>
      <c r="O2142" s="431">
        <v>4.7699999999999996</v>
      </c>
      <c r="P2142" s="431">
        <v>4.34</v>
      </c>
      <c r="Q2142" s="179">
        <f t="shared" si="65"/>
        <v>5.3916666666666666</v>
      </c>
      <c r="R2142" s="179" t="s">
        <v>994</v>
      </c>
    </row>
    <row r="2143" spans="1:18" x14ac:dyDescent="0.15">
      <c r="A2143" s="179" t="str">
        <f t="shared" si="64"/>
        <v>Xochimilco_Flat Surface_270</v>
      </c>
      <c r="B2143" s="429" t="s">
        <v>1167</v>
      </c>
      <c r="C2143" s="429">
        <v>0</v>
      </c>
      <c r="D2143" s="429">
        <v>270</v>
      </c>
      <c r="E2143" s="431">
        <v>4.74</v>
      </c>
      <c r="F2143" s="431">
        <v>5.68</v>
      </c>
      <c r="G2143" s="431">
        <v>6.47</v>
      </c>
      <c r="H2143" s="431">
        <v>6.38</v>
      </c>
      <c r="I2143" s="431">
        <v>6.21</v>
      </c>
      <c r="J2143" s="431">
        <v>5.57</v>
      </c>
      <c r="K2143" s="431">
        <v>5.48</v>
      </c>
      <c r="L2143" s="431">
        <v>5.31</v>
      </c>
      <c r="M2143" s="431">
        <v>4.88</v>
      </c>
      <c r="N2143" s="431">
        <v>4.87</v>
      </c>
      <c r="O2143" s="431">
        <v>4.7699999999999996</v>
      </c>
      <c r="P2143" s="431">
        <v>4.34</v>
      </c>
      <c r="Q2143" s="179">
        <f t="shared" si="65"/>
        <v>5.3916666666666666</v>
      </c>
      <c r="R2143" s="179" t="s">
        <v>994</v>
      </c>
    </row>
    <row r="2144" spans="1:18" x14ac:dyDescent="0.15">
      <c r="A2144" s="179" t="str">
        <f t="shared" si="64"/>
        <v>Xochimilco_Optimal Summer_90</v>
      </c>
      <c r="B2144" s="429" t="s">
        <v>1167</v>
      </c>
      <c r="C2144" s="429">
        <v>4</v>
      </c>
      <c r="D2144" s="429">
        <v>90</v>
      </c>
      <c r="E2144" s="431">
        <v>4</v>
      </c>
      <c r="F2144" s="431">
        <v>4.72</v>
      </c>
      <c r="G2144" s="431">
        <v>5.29</v>
      </c>
      <c r="H2144" s="431">
        <v>5.13</v>
      </c>
      <c r="I2144" s="431">
        <v>4.93</v>
      </c>
      <c r="J2144" s="431">
        <v>4.49</v>
      </c>
      <c r="K2144" s="431">
        <v>4.41</v>
      </c>
      <c r="L2144" s="431">
        <v>4.25</v>
      </c>
      <c r="M2144" s="431">
        <v>3.94</v>
      </c>
      <c r="N2144" s="431">
        <v>4</v>
      </c>
      <c r="O2144" s="431">
        <v>4</v>
      </c>
      <c r="P2144" s="431">
        <v>3.66</v>
      </c>
      <c r="Q2144" s="179">
        <f t="shared" si="65"/>
        <v>4.4016666666666664</v>
      </c>
      <c r="R2144" s="179" t="s">
        <v>958</v>
      </c>
    </row>
    <row r="2145" spans="1:18" x14ac:dyDescent="0.15">
      <c r="A2145" s="179" t="str">
        <f t="shared" si="64"/>
        <v>Xochimilco_Optimal Summer_112.5</v>
      </c>
      <c r="B2145" s="429" t="s">
        <v>1167</v>
      </c>
      <c r="C2145" s="429">
        <v>4</v>
      </c>
      <c r="D2145" s="429">
        <v>112.5</v>
      </c>
      <c r="E2145" s="431">
        <v>4.38</v>
      </c>
      <c r="F2145" s="431">
        <v>5.16</v>
      </c>
      <c r="G2145" s="431">
        <v>5.78</v>
      </c>
      <c r="H2145" s="431">
        <v>5.61</v>
      </c>
      <c r="I2145" s="431">
        <v>5.39</v>
      </c>
      <c r="J2145" s="431">
        <v>4.91</v>
      </c>
      <c r="K2145" s="431">
        <v>4.82</v>
      </c>
      <c r="L2145" s="431">
        <v>4.6500000000000004</v>
      </c>
      <c r="M2145" s="431">
        <v>4.3099999999999996</v>
      </c>
      <c r="N2145" s="431">
        <v>4.38</v>
      </c>
      <c r="O2145" s="431">
        <v>4.38</v>
      </c>
      <c r="P2145" s="431">
        <v>4</v>
      </c>
      <c r="Q2145" s="179">
        <f t="shared" si="65"/>
        <v>4.8141666666666669</v>
      </c>
      <c r="R2145" s="179" t="s">
        <v>958</v>
      </c>
    </row>
    <row r="2146" spans="1:18" x14ac:dyDescent="0.15">
      <c r="A2146" s="179" t="str">
        <f t="shared" si="64"/>
        <v>Xochimilco_Optimal Summer_135</v>
      </c>
      <c r="B2146" s="429" t="s">
        <v>1167</v>
      </c>
      <c r="C2146" s="429">
        <v>4</v>
      </c>
      <c r="D2146" s="429">
        <v>135</v>
      </c>
      <c r="E2146" s="431">
        <v>4.75</v>
      </c>
      <c r="F2146" s="431">
        <v>5.6</v>
      </c>
      <c r="G2146" s="431">
        <v>6.28</v>
      </c>
      <c r="H2146" s="431">
        <v>6.09</v>
      </c>
      <c r="I2146" s="431">
        <v>5.85</v>
      </c>
      <c r="J2146" s="431">
        <v>5.33</v>
      </c>
      <c r="K2146" s="431">
        <v>5.23</v>
      </c>
      <c r="L2146" s="431">
        <v>5.04</v>
      </c>
      <c r="M2146" s="431">
        <v>4.68</v>
      </c>
      <c r="N2146" s="431">
        <v>4.75</v>
      </c>
      <c r="O2146" s="431">
        <v>4.75</v>
      </c>
      <c r="P2146" s="431">
        <v>4.34</v>
      </c>
      <c r="Q2146" s="179">
        <f t="shared" si="65"/>
        <v>5.2241666666666662</v>
      </c>
      <c r="R2146" s="179" t="s">
        <v>958</v>
      </c>
    </row>
    <row r="2147" spans="1:18" x14ac:dyDescent="0.15">
      <c r="A2147" s="179" t="str">
        <f t="shared" si="64"/>
        <v>Xochimilco_Optimal Summer_157.5</v>
      </c>
      <c r="B2147" s="429" t="s">
        <v>1167</v>
      </c>
      <c r="C2147" s="429">
        <v>4</v>
      </c>
      <c r="D2147" s="429">
        <v>157.5</v>
      </c>
      <c r="E2147" s="431">
        <v>4.88</v>
      </c>
      <c r="F2147" s="431">
        <v>5.75</v>
      </c>
      <c r="G2147" s="431">
        <v>6.44</v>
      </c>
      <c r="H2147" s="431">
        <v>6.25</v>
      </c>
      <c r="I2147" s="431">
        <v>6.01</v>
      </c>
      <c r="J2147" s="431">
        <v>5.47</v>
      </c>
      <c r="K2147" s="431">
        <v>5.37</v>
      </c>
      <c r="L2147" s="431">
        <v>5.18</v>
      </c>
      <c r="M2147" s="431">
        <v>4.8099999999999996</v>
      </c>
      <c r="N2147" s="431">
        <v>4.88</v>
      </c>
      <c r="O2147" s="431">
        <v>4.88</v>
      </c>
      <c r="P2147" s="431">
        <v>4.46</v>
      </c>
      <c r="Q2147" s="179">
        <f t="shared" si="65"/>
        <v>5.3649999999999993</v>
      </c>
      <c r="R2147" s="179" t="s">
        <v>958</v>
      </c>
    </row>
    <row r="2148" spans="1:18" x14ac:dyDescent="0.15">
      <c r="A2148" s="179" t="str">
        <f t="shared" si="64"/>
        <v>Xochimilco_Optimal Summer_180</v>
      </c>
      <c r="B2148" s="429" t="s">
        <v>1167</v>
      </c>
      <c r="C2148" s="429">
        <v>4</v>
      </c>
      <c r="D2148" s="429">
        <v>180</v>
      </c>
      <c r="E2148" s="431">
        <v>5</v>
      </c>
      <c r="F2148" s="431">
        <v>5.9</v>
      </c>
      <c r="G2148" s="431">
        <v>6.61</v>
      </c>
      <c r="H2148" s="431">
        <v>6.41</v>
      </c>
      <c r="I2148" s="431">
        <v>6.16</v>
      </c>
      <c r="J2148" s="431">
        <v>5.61</v>
      </c>
      <c r="K2148" s="431">
        <v>5.51</v>
      </c>
      <c r="L2148" s="431">
        <v>5.31</v>
      </c>
      <c r="M2148" s="431">
        <v>4.93</v>
      </c>
      <c r="N2148" s="431">
        <v>5</v>
      </c>
      <c r="O2148" s="431">
        <v>5</v>
      </c>
      <c r="P2148" s="431">
        <v>4.57</v>
      </c>
      <c r="Q2148" s="179">
        <f t="shared" si="65"/>
        <v>5.5008333333333335</v>
      </c>
      <c r="R2148" s="179" t="s">
        <v>958</v>
      </c>
    </row>
    <row r="2149" spans="1:18" x14ac:dyDescent="0.15">
      <c r="A2149" s="179" t="str">
        <f t="shared" si="64"/>
        <v>Xochimilco_Optimal Summer_202.5</v>
      </c>
      <c r="B2149" s="429" t="s">
        <v>1167</v>
      </c>
      <c r="C2149" s="429">
        <v>4</v>
      </c>
      <c r="D2149" s="429">
        <v>202.5</v>
      </c>
      <c r="E2149" s="431">
        <v>4.88</v>
      </c>
      <c r="F2149" s="431">
        <v>5.75</v>
      </c>
      <c r="G2149" s="431">
        <v>6.44</v>
      </c>
      <c r="H2149" s="431">
        <v>6.25</v>
      </c>
      <c r="I2149" s="431">
        <v>6.01</v>
      </c>
      <c r="J2149" s="431">
        <v>5.47</v>
      </c>
      <c r="K2149" s="431">
        <v>5.37</v>
      </c>
      <c r="L2149" s="431">
        <v>5.18</v>
      </c>
      <c r="M2149" s="431">
        <v>4.8099999999999996</v>
      </c>
      <c r="N2149" s="431">
        <v>4.88</v>
      </c>
      <c r="O2149" s="431">
        <v>4.88</v>
      </c>
      <c r="P2149" s="431">
        <v>4.46</v>
      </c>
      <c r="Q2149" s="179">
        <f t="shared" si="65"/>
        <v>5.3649999999999993</v>
      </c>
      <c r="R2149" s="179" t="s">
        <v>958</v>
      </c>
    </row>
    <row r="2150" spans="1:18" x14ac:dyDescent="0.15">
      <c r="A2150" s="179" t="str">
        <f t="shared" si="64"/>
        <v>Xochimilco_Optimal Summer_225</v>
      </c>
      <c r="B2150" s="429" t="s">
        <v>1167</v>
      </c>
      <c r="C2150" s="429">
        <v>4</v>
      </c>
      <c r="D2150" s="429">
        <v>225</v>
      </c>
      <c r="E2150" s="429">
        <v>4.75</v>
      </c>
      <c r="F2150" s="429">
        <v>5.6</v>
      </c>
      <c r="G2150" s="429">
        <v>6.28</v>
      </c>
      <c r="H2150" s="429">
        <v>6.09</v>
      </c>
      <c r="I2150" s="429">
        <v>5.85</v>
      </c>
      <c r="J2150" s="429">
        <v>5.33</v>
      </c>
      <c r="K2150" s="429">
        <v>5.23</v>
      </c>
      <c r="L2150" s="429">
        <v>5.04</v>
      </c>
      <c r="M2150" s="429">
        <v>4.68</v>
      </c>
      <c r="N2150" s="429">
        <v>4.75</v>
      </c>
      <c r="O2150" s="429">
        <v>4.75</v>
      </c>
      <c r="P2150" s="429">
        <v>4.34</v>
      </c>
      <c r="Q2150" s="179">
        <f t="shared" si="65"/>
        <v>5.2241666666666662</v>
      </c>
      <c r="R2150" s="179" t="s">
        <v>958</v>
      </c>
    </row>
    <row r="2151" spans="1:18" x14ac:dyDescent="0.15">
      <c r="A2151" s="179" t="str">
        <f t="shared" si="64"/>
        <v>Xochimilco_Optimal Summer_247.5</v>
      </c>
      <c r="B2151" s="429" t="s">
        <v>1167</v>
      </c>
      <c r="C2151" s="429">
        <v>4</v>
      </c>
      <c r="D2151" s="429">
        <v>247.5</v>
      </c>
      <c r="E2151" s="429">
        <v>4.38</v>
      </c>
      <c r="F2151" s="429">
        <v>5.16</v>
      </c>
      <c r="G2151" s="429">
        <v>5.78</v>
      </c>
      <c r="H2151" s="429">
        <v>5.61</v>
      </c>
      <c r="I2151" s="429">
        <v>5.39</v>
      </c>
      <c r="J2151" s="429">
        <v>4.91</v>
      </c>
      <c r="K2151" s="429">
        <v>4.82</v>
      </c>
      <c r="L2151" s="429">
        <v>4.6500000000000004</v>
      </c>
      <c r="M2151" s="429">
        <v>4.3099999999999996</v>
      </c>
      <c r="N2151" s="429">
        <v>4.38</v>
      </c>
      <c r="O2151" s="429">
        <v>4.38</v>
      </c>
      <c r="P2151" s="429">
        <v>4</v>
      </c>
      <c r="Q2151" s="179">
        <f t="shared" si="65"/>
        <v>4.8141666666666669</v>
      </c>
      <c r="R2151" s="179" t="s">
        <v>958</v>
      </c>
    </row>
    <row r="2152" spans="1:18" x14ac:dyDescent="0.15">
      <c r="A2152" s="179" t="str">
        <f t="shared" si="64"/>
        <v>Xochimilco_Optimal Summer_270</v>
      </c>
      <c r="B2152" s="429" t="s">
        <v>1167</v>
      </c>
      <c r="C2152" s="429">
        <v>4</v>
      </c>
      <c r="D2152" s="429">
        <v>270</v>
      </c>
      <c r="E2152" s="429">
        <v>4</v>
      </c>
      <c r="F2152" s="429">
        <v>4.72</v>
      </c>
      <c r="G2152" s="429">
        <v>5.29</v>
      </c>
      <c r="H2152" s="429">
        <v>5.13</v>
      </c>
      <c r="I2152" s="429">
        <v>4.93</v>
      </c>
      <c r="J2152" s="429">
        <v>4.49</v>
      </c>
      <c r="K2152" s="429">
        <v>4.41</v>
      </c>
      <c r="L2152" s="429">
        <v>4.25</v>
      </c>
      <c r="M2152" s="429">
        <v>3.94</v>
      </c>
      <c r="N2152" s="429">
        <v>4</v>
      </c>
      <c r="O2152" s="429">
        <v>4</v>
      </c>
      <c r="P2152" s="429">
        <v>3.66</v>
      </c>
      <c r="Q2152" s="179">
        <f t="shared" si="65"/>
        <v>4.4016666666666664</v>
      </c>
      <c r="R2152" s="179" t="s">
        <v>958</v>
      </c>
    </row>
    <row r="2153" spans="1:18" x14ac:dyDescent="0.15">
      <c r="A2153" s="179" t="str">
        <f t="shared" si="64"/>
        <v>Xochimilco_Optimal Year Round_90</v>
      </c>
      <c r="B2153" s="429" t="s">
        <v>1167</v>
      </c>
      <c r="C2153" s="429">
        <v>19</v>
      </c>
      <c r="D2153" s="429">
        <v>90</v>
      </c>
      <c r="E2153" s="431">
        <v>4.62</v>
      </c>
      <c r="F2153" s="431">
        <v>5.21</v>
      </c>
      <c r="G2153" s="431">
        <v>5.5</v>
      </c>
      <c r="H2153" s="431">
        <v>5.03</v>
      </c>
      <c r="I2153" s="431">
        <v>4.62</v>
      </c>
      <c r="J2153" s="431">
        <v>4.47</v>
      </c>
      <c r="K2153" s="431">
        <v>4.37</v>
      </c>
      <c r="L2153" s="431">
        <v>4.0999999999999996</v>
      </c>
      <c r="M2153" s="431">
        <v>3.97</v>
      </c>
      <c r="N2153" s="431">
        <v>4.26</v>
      </c>
      <c r="O2153" s="431">
        <v>4.54</v>
      </c>
      <c r="P2153" s="431">
        <v>4.22</v>
      </c>
      <c r="Q2153" s="179">
        <f t="shared" si="65"/>
        <v>4.5758333333333328</v>
      </c>
      <c r="R2153" s="179" t="s">
        <v>993</v>
      </c>
    </row>
    <row r="2154" spans="1:18" x14ac:dyDescent="0.15">
      <c r="A2154" s="179" t="str">
        <f t="shared" si="64"/>
        <v>Xochimilco_Optimal Year Round_112.5</v>
      </c>
      <c r="B2154" s="429" t="s">
        <v>1167</v>
      </c>
      <c r="C2154" s="429">
        <v>19</v>
      </c>
      <c r="D2154" s="429">
        <v>112.5</v>
      </c>
      <c r="E2154" s="431">
        <v>5.05</v>
      </c>
      <c r="F2154" s="431">
        <v>5.7</v>
      </c>
      <c r="G2154" s="431">
        <v>6.01</v>
      </c>
      <c r="H2154" s="431">
        <v>5.5</v>
      </c>
      <c r="I2154" s="431">
        <v>5.0599999999999996</v>
      </c>
      <c r="J2154" s="431">
        <v>4.8899999999999997</v>
      </c>
      <c r="K2154" s="431">
        <v>4.78</v>
      </c>
      <c r="L2154" s="431">
        <v>4.49</v>
      </c>
      <c r="M2154" s="431">
        <v>4.34</v>
      </c>
      <c r="N2154" s="431">
        <v>4.66</v>
      </c>
      <c r="O2154" s="431">
        <v>4.97</v>
      </c>
      <c r="P2154" s="431">
        <v>4.62</v>
      </c>
      <c r="Q2154" s="179">
        <f t="shared" si="65"/>
        <v>5.0058333333333325</v>
      </c>
      <c r="R2154" s="179" t="s">
        <v>993</v>
      </c>
    </row>
    <row r="2155" spans="1:18" x14ac:dyDescent="0.15">
      <c r="A2155" s="179" t="str">
        <f t="shared" si="64"/>
        <v>Xochimilco_Optimal Year Round_135</v>
      </c>
      <c r="B2155" s="429" t="s">
        <v>1167</v>
      </c>
      <c r="C2155" s="429">
        <v>19</v>
      </c>
      <c r="D2155" s="429">
        <v>135</v>
      </c>
      <c r="E2155" s="431">
        <v>5.48</v>
      </c>
      <c r="F2155" s="431">
        <v>6.18</v>
      </c>
      <c r="G2155" s="431">
        <v>6.53</v>
      </c>
      <c r="H2155" s="431">
        <v>5.98</v>
      </c>
      <c r="I2155" s="431">
        <v>5.49</v>
      </c>
      <c r="J2155" s="431">
        <v>5.31</v>
      </c>
      <c r="K2155" s="431">
        <v>5.19</v>
      </c>
      <c r="L2155" s="431">
        <v>4.87</v>
      </c>
      <c r="M2155" s="431">
        <v>4.71</v>
      </c>
      <c r="N2155" s="431">
        <v>5.0599999999999996</v>
      </c>
      <c r="O2155" s="431">
        <v>5.4</v>
      </c>
      <c r="P2155" s="431">
        <v>5.0199999999999996</v>
      </c>
      <c r="Q2155" s="179">
        <f t="shared" si="65"/>
        <v>5.4349999999999996</v>
      </c>
      <c r="R2155" s="179" t="s">
        <v>993</v>
      </c>
    </row>
    <row r="2156" spans="1:18" x14ac:dyDescent="0.15">
      <c r="A2156" s="179" t="str">
        <f t="shared" si="64"/>
        <v>Xochimilco_Optimal Year Round_157.5</v>
      </c>
      <c r="B2156" s="429" t="s">
        <v>1167</v>
      </c>
      <c r="C2156" s="429">
        <v>19</v>
      </c>
      <c r="D2156" s="429">
        <v>157.5</v>
      </c>
      <c r="E2156" s="431">
        <v>5.63</v>
      </c>
      <c r="F2156" s="431">
        <v>6.35</v>
      </c>
      <c r="G2156" s="431">
        <v>6.7</v>
      </c>
      <c r="H2156" s="431">
        <v>6.13</v>
      </c>
      <c r="I2156" s="431">
        <v>5.64</v>
      </c>
      <c r="J2156" s="431">
        <v>5.45</v>
      </c>
      <c r="K2156" s="431">
        <v>5.32</v>
      </c>
      <c r="L2156" s="431">
        <v>5</v>
      </c>
      <c r="M2156" s="431">
        <v>4.84</v>
      </c>
      <c r="N2156" s="431">
        <v>5.2</v>
      </c>
      <c r="O2156" s="431">
        <v>5.54</v>
      </c>
      <c r="P2156" s="431">
        <v>5.15</v>
      </c>
      <c r="Q2156" s="179">
        <f t="shared" si="65"/>
        <v>5.5791666666666666</v>
      </c>
      <c r="R2156" s="179" t="s">
        <v>993</v>
      </c>
    </row>
    <row r="2157" spans="1:18" x14ac:dyDescent="0.15">
      <c r="A2157" s="179" t="str">
        <f t="shared" si="64"/>
        <v>Xochimilco_Optimal Year Round_180</v>
      </c>
      <c r="B2157" s="429" t="s">
        <v>1167</v>
      </c>
      <c r="C2157" s="429">
        <v>19</v>
      </c>
      <c r="D2157" s="429">
        <v>180</v>
      </c>
      <c r="E2157" s="431">
        <v>5.77</v>
      </c>
      <c r="F2157" s="431">
        <v>6.51</v>
      </c>
      <c r="G2157" s="431">
        <v>6.87</v>
      </c>
      <c r="H2157" s="431">
        <v>6.29</v>
      </c>
      <c r="I2157" s="431">
        <v>5.78</v>
      </c>
      <c r="J2157" s="431">
        <v>5.59</v>
      </c>
      <c r="K2157" s="431">
        <v>5.46</v>
      </c>
      <c r="L2157" s="431">
        <v>5.13</v>
      </c>
      <c r="M2157" s="431">
        <v>4.96</v>
      </c>
      <c r="N2157" s="431">
        <v>5.33</v>
      </c>
      <c r="O2157" s="431">
        <v>5.68</v>
      </c>
      <c r="P2157" s="431">
        <v>5.28</v>
      </c>
      <c r="Q2157" s="179">
        <f t="shared" si="65"/>
        <v>5.7208333333333341</v>
      </c>
      <c r="R2157" s="179" t="s">
        <v>993</v>
      </c>
    </row>
    <row r="2158" spans="1:18" x14ac:dyDescent="0.15">
      <c r="A2158" s="179" t="str">
        <f t="shared" si="64"/>
        <v>Xochimilco_Optimal Year Round_202.5</v>
      </c>
      <c r="B2158" s="429" t="s">
        <v>1167</v>
      </c>
      <c r="C2158" s="429">
        <v>19</v>
      </c>
      <c r="D2158" s="429">
        <v>202.5</v>
      </c>
      <c r="E2158" s="431">
        <v>5.63</v>
      </c>
      <c r="F2158" s="431">
        <v>6.35</v>
      </c>
      <c r="G2158" s="431">
        <v>6.7</v>
      </c>
      <c r="H2158" s="431">
        <v>6.13</v>
      </c>
      <c r="I2158" s="431">
        <v>5.64</v>
      </c>
      <c r="J2158" s="431">
        <v>5.45</v>
      </c>
      <c r="K2158" s="431">
        <v>5.32</v>
      </c>
      <c r="L2158" s="431">
        <v>5</v>
      </c>
      <c r="M2158" s="431">
        <v>4.84</v>
      </c>
      <c r="N2158" s="431">
        <v>5.2</v>
      </c>
      <c r="O2158" s="431">
        <v>5.54</v>
      </c>
      <c r="P2158" s="431">
        <v>5.15</v>
      </c>
      <c r="Q2158" s="179">
        <f t="shared" si="65"/>
        <v>5.5791666666666666</v>
      </c>
      <c r="R2158" s="179" t="s">
        <v>993</v>
      </c>
    </row>
    <row r="2159" spans="1:18" x14ac:dyDescent="0.15">
      <c r="A2159" s="179" t="str">
        <f t="shared" si="64"/>
        <v>Xochimilco_Optimal Year Round_225</v>
      </c>
      <c r="B2159" s="429" t="s">
        <v>1167</v>
      </c>
      <c r="C2159" s="429">
        <v>19</v>
      </c>
      <c r="D2159" s="429">
        <v>225</v>
      </c>
      <c r="E2159" s="429">
        <v>5.48</v>
      </c>
      <c r="F2159" s="429">
        <v>6.18</v>
      </c>
      <c r="G2159" s="429">
        <v>6.53</v>
      </c>
      <c r="H2159" s="429">
        <v>5.98</v>
      </c>
      <c r="I2159" s="429">
        <v>5.49</v>
      </c>
      <c r="J2159" s="429">
        <v>5.31</v>
      </c>
      <c r="K2159" s="429">
        <v>5.19</v>
      </c>
      <c r="L2159" s="429">
        <v>4.87</v>
      </c>
      <c r="M2159" s="429">
        <v>4.71</v>
      </c>
      <c r="N2159" s="429">
        <v>5.0599999999999996</v>
      </c>
      <c r="O2159" s="429">
        <v>5.4</v>
      </c>
      <c r="P2159" s="429">
        <v>5.0199999999999996</v>
      </c>
      <c r="Q2159" s="179">
        <f t="shared" si="65"/>
        <v>5.4349999999999996</v>
      </c>
      <c r="R2159" s="179" t="s">
        <v>993</v>
      </c>
    </row>
    <row r="2160" spans="1:18" x14ac:dyDescent="0.15">
      <c r="A2160" s="179" t="str">
        <f t="shared" si="64"/>
        <v>Xochimilco_Optimal Year Round_247.5</v>
      </c>
      <c r="B2160" s="429" t="s">
        <v>1167</v>
      </c>
      <c r="C2160" s="429">
        <v>19</v>
      </c>
      <c r="D2160" s="429">
        <v>247.5</v>
      </c>
      <c r="E2160" s="429">
        <v>5.05</v>
      </c>
      <c r="F2160" s="429">
        <v>5.7</v>
      </c>
      <c r="G2160" s="429">
        <v>6.01</v>
      </c>
      <c r="H2160" s="429">
        <v>5.5</v>
      </c>
      <c r="I2160" s="429">
        <v>5.0599999999999996</v>
      </c>
      <c r="J2160" s="429">
        <v>4.8899999999999997</v>
      </c>
      <c r="K2160" s="429">
        <v>4.78</v>
      </c>
      <c r="L2160" s="429">
        <v>4.49</v>
      </c>
      <c r="M2160" s="429">
        <v>4.34</v>
      </c>
      <c r="N2160" s="429">
        <v>4.66</v>
      </c>
      <c r="O2160" s="429">
        <v>4.97</v>
      </c>
      <c r="P2160" s="429">
        <v>4.62</v>
      </c>
      <c r="Q2160" s="179">
        <f t="shared" si="65"/>
        <v>5.0058333333333325</v>
      </c>
      <c r="R2160" s="179" t="s">
        <v>993</v>
      </c>
    </row>
    <row r="2161" spans="1:18" x14ac:dyDescent="0.15">
      <c r="A2161" s="179" t="str">
        <f t="shared" si="64"/>
        <v>Xochimilco_Optimal Year Round_270</v>
      </c>
      <c r="B2161" s="429" t="s">
        <v>1167</v>
      </c>
      <c r="C2161" s="429">
        <v>19</v>
      </c>
      <c r="D2161" s="429">
        <v>270</v>
      </c>
      <c r="E2161" s="429">
        <v>4.62</v>
      </c>
      <c r="F2161" s="429">
        <v>5.21</v>
      </c>
      <c r="G2161" s="429">
        <v>5.5</v>
      </c>
      <c r="H2161" s="429">
        <v>5.03</v>
      </c>
      <c r="I2161" s="429">
        <v>4.62</v>
      </c>
      <c r="J2161" s="429">
        <v>4.47</v>
      </c>
      <c r="K2161" s="429">
        <v>4.37</v>
      </c>
      <c r="L2161" s="429">
        <v>4.0999999999999996</v>
      </c>
      <c r="M2161" s="429">
        <v>3.97</v>
      </c>
      <c r="N2161" s="429">
        <v>4.26</v>
      </c>
      <c r="O2161" s="429">
        <v>4.54</v>
      </c>
      <c r="P2161" s="429">
        <v>4.22</v>
      </c>
      <c r="Q2161" s="179">
        <f t="shared" si="65"/>
        <v>4.5758333333333328</v>
      </c>
      <c r="R2161" s="179" t="s">
        <v>993</v>
      </c>
    </row>
    <row r="2162" spans="1:18" x14ac:dyDescent="0.15">
      <c r="A2162" s="179" t="str">
        <f t="shared" si="64"/>
        <v>Zapopan_Flat Surface_90</v>
      </c>
      <c r="B2162" s="429" t="s">
        <v>1168</v>
      </c>
      <c r="C2162" s="429">
        <v>0</v>
      </c>
      <c r="D2162" s="429">
        <v>90</v>
      </c>
      <c r="E2162" s="431">
        <v>4.7699999999999996</v>
      </c>
      <c r="F2162" s="431">
        <v>5.72</v>
      </c>
      <c r="G2162" s="431">
        <v>6.78</v>
      </c>
      <c r="H2162" s="431">
        <v>7.11</v>
      </c>
      <c r="I2162" s="431">
        <v>7.11</v>
      </c>
      <c r="J2162" s="431">
        <v>6.17</v>
      </c>
      <c r="K2162" s="431">
        <v>5.63</v>
      </c>
      <c r="L2162" s="431">
        <v>5.51</v>
      </c>
      <c r="M2162" s="431">
        <v>5.14</v>
      </c>
      <c r="N2162" s="431">
        <v>5.31</v>
      </c>
      <c r="O2162" s="431">
        <v>5.13</v>
      </c>
      <c r="P2162" s="431">
        <v>4.45</v>
      </c>
      <c r="Q2162" s="179">
        <f t="shared" si="65"/>
        <v>5.7358333333333329</v>
      </c>
      <c r="R2162" s="179" t="s">
        <v>994</v>
      </c>
    </row>
    <row r="2163" spans="1:18" x14ac:dyDescent="0.15">
      <c r="A2163" s="179" t="str">
        <f t="shared" si="64"/>
        <v>Zapopan_Flat Surface_112.5</v>
      </c>
      <c r="B2163" s="429" t="s">
        <v>1168</v>
      </c>
      <c r="C2163" s="429">
        <v>0</v>
      </c>
      <c r="D2163" s="429">
        <v>112.5</v>
      </c>
      <c r="E2163" s="431">
        <v>4.7699999999999996</v>
      </c>
      <c r="F2163" s="431">
        <v>5.72</v>
      </c>
      <c r="G2163" s="431">
        <v>6.78</v>
      </c>
      <c r="H2163" s="431">
        <v>7.11</v>
      </c>
      <c r="I2163" s="431">
        <v>7.11</v>
      </c>
      <c r="J2163" s="431">
        <v>6.17</v>
      </c>
      <c r="K2163" s="431">
        <v>5.63</v>
      </c>
      <c r="L2163" s="431">
        <v>5.51</v>
      </c>
      <c r="M2163" s="431">
        <v>5.14</v>
      </c>
      <c r="N2163" s="431">
        <v>5.31</v>
      </c>
      <c r="O2163" s="431">
        <v>5.13</v>
      </c>
      <c r="P2163" s="431">
        <v>4.45</v>
      </c>
      <c r="Q2163" s="179">
        <f t="shared" si="65"/>
        <v>5.7358333333333329</v>
      </c>
      <c r="R2163" s="179" t="s">
        <v>994</v>
      </c>
    </row>
    <row r="2164" spans="1:18" x14ac:dyDescent="0.15">
      <c r="A2164" s="179" t="str">
        <f t="shared" si="64"/>
        <v>Zapopan_Flat Surface_135</v>
      </c>
      <c r="B2164" s="429" t="s">
        <v>1168</v>
      </c>
      <c r="C2164" s="429">
        <v>0</v>
      </c>
      <c r="D2164" s="429">
        <v>135</v>
      </c>
      <c r="E2164" s="431">
        <v>4.7699999999999996</v>
      </c>
      <c r="F2164" s="431">
        <v>5.72</v>
      </c>
      <c r="G2164" s="431">
        <v>6.78</v>
      </c>
      <c r="H2164" s="431">
        <v>7.11</v>
      </c>
      <c r="I2164" s="431">
        <v>7.11</v>
      </c>
      <c r="J2164" s="431">
        <v>6.17</v>
      </c>
      <c r="K2164" s="431">
        <v>5.63</v>
      </c>
      <c r="L2164" s="431">
        <v>5.51</v>
      </c>
      <c r="M2164" s="431">
        <v>5.14</v>
      </c>
      <c r="N2164" s="431">
        <v>5.31</v>
      </c>
      <c r="O2164" s="431">
        <v>5.13</v>
      </c>
      <c r="P2164" s="431">
        <v>4.45</v>
      </c>
      <c r="Q2164" s="179">
        <f t="shared" si="65"/>
        <v>5.7358333333333329</v>
      </c>
      <c r="R2164" s="179" t="s">
        <v>994</v>
      </c>
    </row>
    <row r="2165" spans="1:18" x14ac:dyDescent="0.15">
      <c r="A2165" s="179" t="str">
        <f t="shared" si="64"/>
        <v>Zapopan_Flat Surface_157.5</v>
      </c>
      <c r="B2165" s="429" t="s">
        <v>1168</v>
      </c>
      <c r="C2165" s="429">
        <v>0</v>
      </c>
      <c r="D2165" s="429">
        <v>157.5</v>
      </c>
      <c r="E2165" s="431">
        <v>4.7699999999999996</v>
      </c>
      <c r="F2165" s="431">
        <v>5.72</v>
      </c>
      <c r="G2165" s="431">
        <v>6.78</v>
      </c>
      <c r="H2165" s="431">
        <v>7.11</v>
      </c>
      <c r="I2165" s="431">
        <v>7.11</v>
      </c>
      <c r="J2165" s="431">
        <v>6.17</v>
      </c>
      <c r="K2165" s="431">
        <v>5.63</v>
      </c>
      <c r="L2165" s="431">
        <v>5.51</v>
      </c>
      <c r="M2165" s="431">
        <v>5.14</v>
      </c>
      <c r="N2165" s="431">
        <v>5.31</v>
      </c>
      <c r="O2165" s="431">
        <v>5.13</v>
      </c>
      <c r="P2165" s="431">
        <v>4.45</v>
      </c>
      <c r="Q2165" s="179">
        <f t="shared" si="65"/>
        <v>5.7358333333333329</v>
      </c>
      <c r="R2165" s="179" t="s">
        <v>994</v>
      </c>
    </row>
    <row r="2166" spans="1:18" x14ac:dyDescent="0.15">
      <c r="A2166" s="179" t="str">
        <f t="shared" si="64"/>
        <v>Zapopan_Flat Surface_180</v>
      </c>
      <c r="B2166" s="429" t="s">
        <v>1168</v>
      </c>
      <c r="C2166" s="429">
        <v>0</v>
      </c>
      <c r="D2166" s="429">
        <v>180</v>
      </c>
      <c r="E2166" s="431">
        <v>4.7699999999999996</v>
      </c>
      <c r="F2166" s="431">
        <v>5.72</v>
      </c>
      <c r="G2166" s="431">
        <v>6.78</v>
      </c>
      <c r="H2166" s="431">
        <v>7.11</v>
      </c>
      <c r="I2166" s="431">
        <v>7.11</v>
      </c>
      <c r="J2166" s="431">
        <v>6.17</v>
      </c>
      <c r="K2166" s="431">
        <v>5.63</v>
      </c>
      <c r="L2166" s="431">
        <v>5.51</v>
      </c>
      <c r="M2166" s="431">
        <v>5.14</v>
      </c>
      <c r="N2166" s="431">
        <v>5.31</v>
      </c>
      <c r="O2166" s="431">
        <v>5.13</v>
      </c>
      <c r="P2166" s="431">
        <v>4.45</v>
      </c>
      <c r="Q2166" s="179">
        <f t="shared" si="65"/>
        <v>5.7358333333333329</v>
      </c>
      <c r="R2166" s="179" t="s">
        <v>994</v>
      </c>
    </row>
    <row r="2167" spans="1:18" x14ac:dyDescent="0.15">
      <c r="A2167" s="179" t="str">
        <f t="shared" si="64"/>
        <v>Zapopan_Flat Surface_202.5</v>
      </c>
      <c r="B2167" s="429" t="s">
        <v>1168</v>
      </c>
      <c r="C2167" s="429">
        <v>0</v>
      </c>
      <c r="D2167" s="429">
        <v>202.5</v>
      </c>
      <c r="E2167" s="431">
        <v>4.7699999999999996</v>
      </c>
      <c r="F2167" s="431">
        <v>5.72</v>
      </c>
      <c r="G2167" s="431">
        <v>6.78</v>
      </c>
      <c r="H2167" s="431">
        <v>7.11</v>
      </c>
      <c r="I2167" s="431">
        <v>7.11</v>
      </c>
      <c r="J2167" s="431">
        <v>6.17</v>
      </c>
      <c r="K2167" s="431">
        <v>5.63</v>
      </c>
      <c r="L2167" s="431">
        <v>5.51</v>
      </c>
      <c r="M2167" s="431">
        <v>5.14</v>
      </c>
      <c r="N2167" s="431">
        <v>5.31</v>
      </c>
      <c r="O2167" s="431">
        <v>5.13</v>
      </c>
      <c r="P2167" s="431">
        <v>4.45</v>
      </c>
      <c r="Q2167" s="179">
        <f t="shared" si="65"/>
        <v>5.7358333333333329</v>
      </c>
      <c r="R2167" s="179" t="s">
        <v>994</v>
      </c>
    </row>
    <row r="2168" spans="1:18" x14ac:dyDescent="0.15">
      <c r="A2168" s="179" t="str">
        <f t="shared" si="64"/>
        <v>Zapopan_Flat Surface_225</v>
      </c>
      <c r="B2168" s="429" t="s">
        <v>1168</v>
      </c>
      <c r="C2168" s="429">
        <v>0</v>
      </c>
      <c r="D2168" s="429">
        <v>225</v>
      </c>
      <c r="E2168" s="431">
        <v>4.7699999999999996</v>
      </c>
      <c r="F2168" s="431">
        <v>5.72</v>
      </c>
      <c r="G2168" s="431">
        <v>6.78</v>
      </c>
      <c r="H2168" s="431">
        <v>7.11</v>
      </c>
      <c r="I2168" s="431">
        <v>7.11</v>
      </c>
      <c r="J2168" s="431">
        <v>6.17</v>
      </c>
      <c r="K2168" s="431">
        <v>5.63</v>
      </c>
      <c r="L2168" s="431">
        <v>5.51</v>
      </c>
      <c r="M2168" s="431">
        <v>5.14</v>
      </c>
      <c r="N2168" s="431">
        <v>5.31</v>
      </c>
      <c r="O2168" s="431">
        <v>5.13</v>
      </c>
      <c r="P2168" s="431">
        <v>4.45</v>
      </c>
      <c r="Q2168" s="179">
        <f t="shared" si="65"/>
        <v>5.7358333333333329</v>
      </c>
      <c r="R2168" s="179" t="s">
        <v>994</v>
      </c>
    </row>
    <row r="2169" spans="1:18" x14ac:dyDescent="0.15">
      <c r="A2169" s="179" t="str">
        <f t="shared" si="64"/>
        <v>Zapopan_Flat Surface_247.5</v>
      </c>
      <c r="B2169" s="429" t="s">
        <v>1168</v>
      </c>
      <c r="C2169" s="429">
        <v>0</v>
      </c>
      <c r="D2169" s="429">
        <v>247.5</v>
      </c>
      <c r="E2169" s="431">
        <v>4.7699999999999996</v>
      </c>
      <c r="F2169" s="431">
        <v>5.72</v>
      </c>
      <c r="G2169" s="431">
        <v>6.78</v>
      </c>
      <c r="H2169" s="431">
        <v>7.11</v>
      </c>
      <c r="I2169" s="431">
        <v>7.11</v>
      </c>
      <c r="J2169" s="431">
        <v>6.17</v>
      </c>
      <c r="K2169" s="431">
        <v>5.63</v>
      </c>
      <c r="L2169" s="431">
        <v>5.51</v>
      </c>
      <c r="M2169" s="431">
        <v>5.14</v>
      </c>
      <c r="N2169" s="431">
        <v>5.31</v>
      </c>
      <c r="O2169" s="431">
        <v>5.13</v>
      </c>
      <c r="P2169" s="431">
        <v>4.45</v>
      </c>
      <c r="Q2169" s="179">
        <f t="shared" si="65"/>
        <v>5.7358333333333329</v>
      </c>
      <c r="R2169" s="179" t="s">
        <v>994</v>
      </c>
    </row>
    <row r="2170" spans="1:18" x14ac:dyDescent="0.15">
      <c r="A2170" s="179" t="str">
        <f t="shared" si="64"/>
        <v>Zapopan_Flat Surface_270</v>
      </c>
      <c r="B2170" s="429" t="s">
        <v>1168</v>
      </c>
      <c r="C2170" s="429">
        <v>0</v>
      </c>
      <c r="D2170" s="429">
        <v>270</v>
      </c>
      <c r="E2170" s="431">
        <v>4.7699999999999996</v>
      </c>
      <c r="F2170" s="431">
        <v>5.72</v>
      </c>
      <c r="G2170" s="431">
        <v>6.78</v>
      </c>
      <c r="H2170" s="431">
        <v>7.11</v>
      </c>
      <c r="I2170" s="431">
        <v>7.11</v>
      </c>
      <c r="J2170" s="431">
        <v>6.17</v>
      </c>
      <c r="K2170" s="431">
        <v>5.63</v>
      </c>
      <c r="L2170" s="431">
        <v>5.51</v>
      </c>
      <c r="M2170" s="431">
        <v>5.14</v>
      </c>
      <c r="N2170" s="431">
        <v>5.31</v>
      </c>
      <c r="O2170" s="431">
        <v>5.13</v>
      </c>
      <c r="P2170" s="431">
        <v>4.45</v>
      </c>
      <c r="Q2170" s="179">
        <f t="shared" si="65"/>
        <v>5.7358333333333329</v>
      </c>
      <c r="R2170" s="179" t="s">
        <v>994</v>
      </c>
    </row>
    <row r="2171" spans="1:18" x14ac:dyDescent="0.15">
      <c r="A2171" s="179" t="str">
        <f t="shared" si="64"/>
        <v>Zapopan_Optimal Summer_90</v>
      </c>
      <c r="B2171" s="429" t="s">
        <v>1168</v>
      </c>
      <c r="C2171" s="429">
        <v>6</v>
      </c>
      <c r="D2171" s="429">
        <v>90</v>
      </c>
      <c r="E2171" s="431">
        <v>4.0999999999999996</v>
      </c>
      <c r="F2171" s="431">
        <v>4.82</v>
      </c>
      <c r="G2171" s="431">
        <v>5.58</v>
      </c>
      <c r="H2171" s="431">
        <v>5.72</v>
      </c>
      <c r="I2171" s="431">
        <v>5.63</v>
      </c>
      <c r="J2171" s="431">
        <v>4.9800000000000004</v>
      </c>
      <c r="K2171" s="431">
        <v>4.53</v>
      </c>
      <c r="L2171" s="431">
        <v>4.41</v>
      </c>
      <c r="M2171" s="431">
        <v>4.17</v>
      </c>
      <c r="N2171" s="431">
        <v>4.41</v>
      </c>
      <c r="O2171" s="431">
        <v>4.38</v>
      </c>
      <c r="P2171" s="431">
        <v>3.82</v>
      </c>
      <c r="Q2171" s="179">
        <f t="shared" si="65"/>
        <v>4.7124999999999995</v>
      </c>
      <c r="R2171" s="179" t="s">
        <v>958</v>
      </c>
    </row>
    <row r="2172" spans="1:18" x14ac:dyDescent="0.15">
      <c r="A2172" s="179" t="str">
        <f t="shared" si="64"/>
        <v>Zapopan_Optimal Summer_112.5</v>
      </c>
      <c r="B2172" s="429" t="s">
        <v>1168</v>
      </c>
      <c r="C2172" s="429">
        <v>6</v>
      </c>
      <c r="D2172" s="429">
        <v>112.5</v>
      </c>
      <c r="E2172" s="431">
        <v>4.4800000000000004</v>
      </c>
      <c r="F2172" s="431">
        <v>5.27</v>
      </c>
      <c r="G2172" s="431">
        <v>6.1</v>
      </c>
      <c r="H2172" s="431">
        <v>6.26</v>
      </c>
      <c r="I2172" s="431">
        <v>6.16</v>
      </c>
      <c r="J2172" s="431">
        <v>5.44</v>
      </c>
      <c r="K2172" s="431">
        <v>4.95</v>
      </c>
      <c r="L2172" s="431">
        <v>4.82</v>
      </c>
      <c r="M2172" s="431">
        <v>4.5599999999999996</v>
      </c>
      <c r="N2172" s="431">
        <v>4.82</v>
      </c>
      <c r="O2172" s="431">
        <v>4.8</v>
      </c>
      <c r="P2172" s="431">
        <v>4.18</v>
      </c>
      <c r="Q2172" s="179">
        <f t="shared" si="65"/>
        <v>5.1533333333333333</v>
      </c>
      <c r="R2172" s="179" t="s">
        <v>958</v>
      </c>
    </row>
    <row r="2173" spans="1:18" x14ac:dyDescent="0.15">
      <c r="A2173" s="179" t="str">
        <f t="shared" si="64"/>
        <v>Zapopan_Optimal Summer_135</v>
      </c>
      <c r="B2173" s="429" t="s">
        <v>1168</v>
      </c>
      <c r="C2173" s="429">
        <v>6</v>
      </c>
      <c r="D2173" s="429">
        <v>135</v>
      </c>
      <c r="E2173" s="431">
        <v>4.8600000000000003</v>
      </c>
      <c r="F2173" s="431">
        <v>5.72</v>
      </c>
      <c r="G2173" s="431">
        <v>6.62</v>
      </c>
      <c r="H2173" s="431">
        <v>6.79</v>
      </c>
      <c r="I2173" s="431">
        <v>6.69</v>
      </c>
      <c r="J2173" s="431">
        <v>5.91</v>
      </c>
      <c r="K2173" s="431">
        <v>5.38</v>
      </c>
      <c r="L2173" s="431">
        <v>5.23</v>
      </c>
      <c r="M2173" s="431">
        <v>4.95</v>
      </c>
      <c r="N2173" s="431">
        <v>5.23</v>
      </c>
      <c r="O2173" s="431">
        <v>5.21</v>
      </c>
      <c r="P2173" s="431">
        <v>4.54</v>
      </c>
      <c r="Q2173" s="179">
        <f t="shared" si="65"/>
        <v>5.5941666666666672</v>
      </c>
      <c r="R2173" s="179" t="s">
        <v>958</v>
      </c>
    </row>
    <row r="2174" spans="1:18" x14ac:dyDescent="0.15">
      <c r="A2174" s="179" t="str">
        <f t="shared" si="64"/>
        <v>Zapopan_Optimal Summer_157.5</v>
      </c>
      <c r="B2174" s="429" t="s">
        <v>1168</v>
      </c>
      <c r="C2174" s="429">
        <v>6</v>
      </c>
      <c r="D2174" s="429">
        <v>157.5</v>
      </c>
      <c r="E2174" s="431">
        <v>4.99</v>
      </c>
      <c r="F2174" s="431">
        <v>5.87</v>
      </c>
      <c r="G2174" s="431">
        <v>6.8</v>
      </c>
      <c r="H2174" s="431">
        <v>6.97</v>
      </c>
      <c r="I2174" s="431">
        <v>6.86</v>
      </c>
      <c r="J2174" s="431">
        <v>6.06</v>
      </c>
      <c r="K2174" s="431">
        <v>5.52</v>
      </c>
      <c r="L2174" s="431">
        <v>5.37</v>
      </c>
      <c r="M2174" s="431">
        <v>5.08</v>
      </c>
      <c r="N2174" s="431">
        <v>5.37</v>
      </c>
      <c r="O2174" s="431">
        <v>5.34</v>
      </c>
      <c r="P2174" s="431">
        <v>4.66</v>
      </c>
      <c r="Q2174" s="179">
        <f t="shared" si="65"/>
        <v>5.7408333333333319</v>
      </c>
      <c r="R2174" s="179" t="s">
        <v>958</v>
      </c>
    </row>
    <row r="2175" spans="1:18" x14ac:dyDescent="0.15">
      <c r="A2175" s="179" t="str">
        <f t="shared" si="64"/>
        <v>Zapopan_Optimal Summer_180</v>
      </c>
      <c r="B2175" s="429" t="s">
        <v>1168</v>
      </c>
      <c r="C2175" s="429">
        <v>6</v>
      </c>
      <c r="D2175" s="429">
        <v>180</v>
      </c>
      <c r="E2175" s="431">
        <v>5.12</v>
      </c>
      <c r="F2175" s="431">
        <v>6.02</v>
      </c>
      <c r="G2175" s="431">
        <v>6.97</v>
      </c>
      <c r="H2175" s="431">
        <v>7.15</v>
      </c>
      <c r="I2175" s="431">
        <v>7.04</v>
      </c>
      <c r="J2175" s="431">
        <v>6.22</v>
      </c>
      <c r="K2175" s="431">
        <v>5.66</v>
      </c>
      <c r="L2175" s="431">
        <v>5.51</v>
      </c>
      <c r="M2175" s="431">
        <v>5.21</v>
      </c>
      <c r="N2175" s="431">
        <v>5.51</v>
      </c>
      <c r="O2175" s="431">
        <v>5.48</v>
      </c>
      <c r="P2175" s="431">
        <v>4.78</v>
      </c>
      <c r="Q2175" s="179">
        <f t="shared" si="65"/>
        <v>5.8891666666666653</v>
      </c>
      <c r="R2175" s="179" t="s">
        <v>958</v>
      </c>
    </row>
    <row r="2176" spans="1:18" x14ac:dyDescent="0.15">
      <c r="A2176" s="179" t="str">
        <f t="shared" si="64"/>
        <v>Zapopan_Optimal Summer_202.5</v>
      </c>
      <c r="B2176" s="429" t="s">
        <v>1168</v>
      </c>
      <c r="C2176" s="429">
        <v>6</v>
      </c>
      <c r="D2176" s="429">
        <v>202.5</v>
      </c>
      <c r="E2176" s="431">
        <v>4.99</v>
      </c>
      <c r="F2176" s="431">
        <v>5.87</v>
      </c>
      <c r="G2176" s="431">
        <v>6.8</v>
      </c>
      <c r="H2176" s="431">
        <v>6.97</v>
      </c>
      <c r="I2176" s="431">
        <v>6.86</v>
      </c>
      <c r="J2176" s="431">
        <v>6.06</v>
      </c>
      <c r="K2176" s="431">
        <v>5.52</v>
      </c>
      <c r="L2176" s="431">
        <v>5.37</v>
      </c>
      <c r="M2176" s="431">
        <v>5.08</v>
      </c>
      <c r="N2176" s="431">
        <v>5.37</v>
      </c>
      <c r="O2176" s="431">
        <v>5.34</v>
      </c>
      <c r="P2176" s="431">
        <v>4.66</v>
      </c>
      <c r="Q2176" s="179">
        <f t="shared" si="65"/>
        <v>5.7408333333333319</v>
      </c>
      <c r="R2176" s="179" t="s">
        <v>958</v>
      </c>
    </row>
    <row r="2177" spans="1:18" x14ac:dyDescent="0.15">
      <c r="A2177" s="179" t="str">
        <f t="shared" si="64"/>
        <v>Zapopan_Optimal Summer_225</v>
      </c>
      <c r="B2177" s="429" t="s">
        <v>1168</v>
      </c>
      <c r="C2177" s="429">
        <v>6</v>
      </c>
      <c r="D2177" s="429">
        <v>225</v>
      </c>
      <c r="E2177" s="429">
        <v>4.8600000000000003</v>
      </c>
      <c r="F2177" s="429">
        <v>5.72</v>
      </c>
      <c r="G2177" s="429">
        <v>6.62</v>
      </c>
      <c r="H2177" s="429">
        <v>6.79</v>
      </c>
      <c r="I2177" s="429">
        <v>6.69</v>
      </c>
      <c r="J2177" s="429">
        <v>5.91</v>
      </c>
      <c r="K2177" s="429">
        <v>5.38</v>
      </c>
      <c r="L2177" s="429">
        <v>5.23</v>
      </c>
      <c r="M2177" s="429">
        <v>4.95</v>
      </c>
      <c r="N2177" s="429">
        <v>5.23</v>
      </c>
      <c r="O2177" s="429">
        <v>5.21</v>
      </c>
      <c r="P2177" s="429">
        <v>4.54</v>
      </c>
      <c r="Q2177" s="179">
        <f t="shared" si="65"/>
        <v>5.5941666666666672</v>
      </c>
      <c r="R2177" s="179" t="s">
        <v>958</v>
      </c>
    </row>
    <row r="2178" spans="1:18" x14ac:dyDescent="0.15">
      <c r="A2178" s="179" t="str">
        <f t="shared" ref="A2178:A2188" si="66">B2178&amp;"_"&amp;R2178&amp;"_"&amp;D2178</f>
        <v>Zapopan_Optimal Summer_247.5</v>
      </c>
      <c r="B2178" s="429" t="s">
        <v>1168</v>
      </c>
      <c r="C2178" s="429">
        <v>6</v>
      </c>
      <c r="D2178" s="429">
        <v>247.5</v>
      </c>
      <c r="E2178" s="429">
        <v>4.4800000000000004</v>
      </c>
      <c r="F2178" s="429">
        <v>5.27</v>
      </c>
      <c r="G2178" s="429">
        <v>6.1</v>
      </c>
      <c r="H2178" s="429">
        <v>6.26</v>
      </c>
      <c r="I2178" s="429">
        <v>6.16</v>
      </c>
      <c r="J2178" s="429">
        <v>5.44</v>
      </c>
      <c r="K2178" s="429">
        <v>4.95</v>
      </c>
      <c r="L2178" s="429">
        <v>4.82</v>
      </c>
      <c r="M2178" s="429">
        <v>4.5599999999999996</v>
      </c>
      <c r="N2178" s="429">
        <v>4.82</v>
      </c>
      <c r="O2178" s="429">
        <v>4.8</v>
      </c>
      <c r="P2178" s="429">
        <v>4.18</v>
      </c>
      <c r="Q2178" s="179">
        <f t="shared" ref="Q2178:Q2188" si="67">AVERAGE(E2178:P2178)</f>
        <v>5.1533333333333333</v>
      </c>
      <c r="R2178" s="179" t="s">
        <v>958</v>
      </c>
    </row>
    <row r="2179" spans="1:18" x14ac:dyDescent="0.15">
      <c r="A2179" s="179" t="str">
        <f t="shared" si="66"/>
        <v>Zapopan_Optimal Summer_270</v>
      </c>
      <c r="B2179" s="429" t="s">
        <v>1168</v>
      </c>
      <c r="C2179" s="429">
        <v>6</v>
      </c>
      <c r="D2179" s="429">
        <v>270</v>
      </c>
      <c r="E2179" s="429">
        <v>4.0999999999999996</v>
      </c>
      <c r="F2179" s="429">
        <v>4.82</v>
      </c>
      <c r="G2179" s="429">
        <v>5.58</v>
      </c>
      <c r="H2179" s="429">
        <v>5.72</v>
      </c>
      <c r="I2179" s="429">
        <v>5.63</v>
      </c>
      <c r="J2179" s="429">
        <v>4.9800000000000004</v>
      </c>
      <c r="K2179" s="429">
        <v>4.53</v>
      </c>
      <c r="L2179" s="429">
        <v>4.41</v>
      </c>
      <c r="M2179" s="429">
        <v>4.17</v>
      </c>
      <c r="N2179" s="429">
        <v>4.41</v>
      </c>
      <c r="O2179" s="429">
        <v>4.38</v>
      </c>
      <c r="P2179" s="429">
        <v>3.82</v>
      </c>
      <c r="Q2179" s="179">
        <f t="shared" si="67"/>
        <v>4.7124999999999995</v>
      </c>
      <c r="R2179" s="179" t="s">
        <v>958</v>
      </c>
    </row>
    <row r="2180" spans="1:18" x14ac:dyDescent="0.15">
      <c r="A2180" s="179" t="str">
        <f t="shared" si="66"/>
        <v>Zapopan_Optimal Year Round_90</v>
      </c>
      <c r="B2180" s="429" t="s">
        <v>1168</v>
      </c>
      <c r="C2180" s="429">
        <v>21</v>
      </c>
      <c r="D2180" s="429">
        <v>90</v>
      </c>
      <c r="E2180" s="431">
        <v>4.76</v>
      </c>
      <c r="F2180" s="431">
        <v>5.33</v>
      </c>
      <c r="G2180" s="431">
        <v>5.83</v>
      </c>
      <c r="H2180" s="431">
        <v>5.62</v>
      </c>
      <c r="I2180" s="431">
        <v>5.26</v>
      </c>
      <c r="J2180" s="431">
        <v>4.9400000000000004</v>
      </c>
      <c r="K2180" s="431">
        <v>4.46</v>
      </c>
      <c r="L2180" s="431">
        <v>4.26</v>
      </c>
      <c r="M2180" s="431">
        <v>4.21</v>
      </c>
      <c r="N2180" s="431">
        <v>4.74</v>
      </c>
      <c r="O2180" s="431">
        <v>5.05</v>
      </c>
      <c r="P2180" s="431">
        <v>4.46</v>
      </c>
      <c r="Q2180" s="179">
        <f t="shared" si="67"/>
        <v>4.9099999999999993</v>
      </c>
      <c r="R2180" s="179" t="s">
        <v>993</v>
      </c>
    </row>
    <row r="2181" spans="1:18" x14ac:dyDescent="0.15">
      <c r="A2181" s="179" t="str">
        <f t="shared" si="66"/>
        <v>Zapopan_Optimal Year Round_112.5</v>
      </c>
      <c r="B2181" s="429" t="s">
        <v>1168</v>
      </c>
      <c r="C2181" s="429">
        <v>21</v>
      </c>
      <c r="D2181" s="429">
        <v>112.5</v>
      </c>
      <c r="E2181" s="431">
        <v>5.21</v>
      </c>
      <c r="F2181" s="431">
        <v>5.83</v>
      </c>
      <c r="G2181" s="431">
        <v>6.38</v>
      </c>
      <c r="H2181" s="431">
        <v>6.15</v>
      </c>
      <c r="I2181" s="431">
        <v>5.75</v>
      </c>
      <c r="J2181" s="431">
        <v>5.41</v>
      </c>
      <c r="K2181" s="431">
        <v>4.88</v>
      </c>
      <c r="L2181" s="431">
        <v>4.66</v>
      </c>
      <c r="M2181" s="431">
        <v>4.5999999999999996</v>
      </c>
      <c r="N2181" s="431">
        <v>5.19</v>
      </c>
      <c r="O2181" s="431">
        <v>5.52</v>
      </c>
      <c r="P2181" s="431">
        <v>4.88</v>
      </c>
      <c r="Q2181" s="179">
        <f t="shared" si="67"/>
        <v>5.371666666666667</v>
      </c>
      <c r="R2181" s="179" t="s">
        <v>993</v>
      </c>
    </row>
    <row r="2182" spans="1:18" x14ac:dyDescent="0.15">
      <c r="A2182" s="179" t="str">
        <f t="shared" si="66"/>
        <v>Zapopan_Optimal Year Round_135</v>
      </c>
      <c r="B2182" s="429" t="s">
        <v>1168</v>
      </c>
      <c r="C2182" s="429">
        <v>21</v>
      </c>
      <c r="D2182" s="429">
        <v>135</v>
      </c>
      <c r="E2182" s="431">
        <v>5.65</v>
      </c>
      <c r="F2182" s="431">
        <v>6.33</v>
      </c>
      <c r="G2182" s="431">
        <v>6.93</v>
      </c>
      <c r="H2182" s="431">
        <v>6.68</v>
      </c>
      <c r="I2182" s="431">
        <v>6.24</v>
      </c>
      <c r="J2182" s="431">
        <v>5.87</v>
      </c>
      <c r="K2182" s="431">
        <v>5.3</v>
      </c>
      <c r="L2182" s="431">
        <v>5.0599999999999996</v>
      </c>
      <c r="M2182" s="431">
        <v>5</v>
      </c>
      <c r="N2182" s="431">
        <v>5.63</v>
      </c>
      <c r="O2182" s="431">
        <v>5.99</v>
      </c>
      <c r="P2182" s="431">
        <v>5.3</v>
      </c>
      <c r="Q2182" s="179">
        <f t="shared" si="67"/>
        <v>5.8316666666666661</v>
      </c>
      <c r="R2182" s="179" t="s">
        <v>993</v>
      </c>
    </row>
    <row r="2183" spans="1:18" x14ac:dyDescent="0.15">
      <c r="A2183" s="179" t="str">
        <f t="shared" si="66"/>
        <v>Zapopan_Optimal Year Round_157.5</v>
      </c>
      <c r="B2183" s="429" t="s">
        <v>1168</v>
      </c>
      <c r="C2183" s="429">
        <v>21</v>
      </c>
      <c r="D2183" s="429">
        <v>157.5</v>
      </c>
      <c r="E2183" s="431">
        <v>5.8</v>
      </c>
      <c r="F2183" s="431">
        <v>6.49</v>
      </c>
      <c r="G2183" s="431">
        <v>7.11</v>
      </c>
      <c r="H2183" s="431">
        <v>6.85</v>
      </c>
      <c r="I2183" s="431">
        <v>6.41</v>
      </c>
      <c r="J2183" s="431">
        <v>6.03</v>
      </c>
      <c r="K2183" s="431">
        <v>5.44</v>
      </c>
      <c r="L2183" s="431">
        <v>5.2</v>
      </c>
      <c r="M2183" s="431">
        <v>5.13</v>
      </c>
      <c r="N2183" s="431">
        <v>5.78</v>
      </c>
      <c r="O2183" s="431">
        <v>6.15</v>
      </c>
      <c r="P2183" s="431">
        <v>5.44</v>
      </c>
      <c r="Q2183" s="179">
        <f t="shared" si="67"/>
        <v>5.9858333333333329</v>
      </c>
      <c r="R2183" s="179" t="s">
        <v>993</v>
      </c>
    </row>
    <row r="2184" spans="1:18" x14ac:dyDescent="0.15">
      <c r="A2184" s="179" t="str">
        <f t="shared" si="66"/>
        <v>Zapopan_Optimal Year Round_180</v>
      </c>
      <c r="B2184" s="429" t="s">
        <v>1168</v>
      </c>
      <c r="C2184" s="429">
        <v>21</v>
      </c>
      <c r="D2184" s="429">
        <v>180</v>
      </c>
      <c r="E2184" s="431">
        <v>5.95</v>
      </c>
      <c r="F2184" s="431">
        <v>6.66</v>
      </c>
      <c r="G2184" s="431">
        <v>7.29</v>
      </c>
      <c r="H2184" s="431">
        <v>7.03</v>
      </c>
      <c r="I2184" s="431">
        <v>6.57</v>
      </c>
      <c r="J2184" s="431">
        <v>6.18</v>
      </c>
      <c r="K2184" s="431">
        <v>5.58</v>
      </c>
      <c r="L2184" s="431">
        <v>5.33</v>
      </c>
      <c r="M2184" s="431">
        <v>5.26</v>
      </c>
      <c r="N2184" s="431">
        <v>5.93</v>
      </c>
      <c r="O2184" s="431">
        <v>6.31</v>
      </c>
      <c r="P2184" s="431">
        <v>5.58</v>
      </c>
      <c r="Q2184" s="179">
        <f t="shared" si="67"/>
        <v>6.1391666666666653</v>
      </c>
      <c r="R2184" s="179" t="s">
        <v>993</v>
      </c>
    </row>
    <row r="2185" spans="1:18" x14ac:dyDescent="0.15">
      <c r="A2185" s="179" t="str">
        <f t="shared" si="66"/>
        <v>Zapopan_Optimal Year Round_202.5</v>
      </c>
      <c r="B2185" s="429" t="s">
        <v>1168</v>
      </c>
      <c r="C2185" s="429">
        <v>21</v>
      </c>
      <c r="D2185" s="429">
        <v>202.5</v>
      </c>
      <c r="E2185" s="431">
        <v>5.8</v>
      </c>
      <c r="F2185" s="431">
        <v>6.49</v>
      </c>
      <c r="G2185" s="431">
        <v>7.11</v>
      </c>
      <c r="H2185" s="431">
        <v>6.85</v>
      </c>
      <c r="I2185" s="431">
        <v>6.41</v>
      </c>
      <c r="J2185" s="431">
        <v>6.03</v>
      </c>
      <c r="K2185" s="431">
        <v>5.44</v>
      </c>
      <c r="L2185" s="431">
        <v>5.2</v>
      </c>
      <c r="M2185" s="431">
        <v>5.13</v>
      </c>
      <c r="N2185" s="431">
        <v>5.78</v>
      </c>
      <c r="O2185" s="431">
        <v>6.15</v>
      </c>
      <c r="P2185" s="431">
        <v>5.44</v>
      </c>
      <c r="Q2185" s="179">
        <f t="shared" si="67"/>
        <v>5.9858333333333329</v>
      </c>
      <c r="R2185" s="179" t="s">
        <v>993</v>
      </c>
    </row>
    <row r="2186" spans="1:18" x14ac:dyDescent="0.15">
      <c r="A2186" s="179" t="str">
        <f t="shared" si="66"/>
        <v>Zapopan_Optimal Year Round_225</v>
      </c>
      <c r="B2186" s="429" t="s">
        <v>1168</v>
      </c>
      <c r="C2186" s="429">
        <v>21</v>
      </c>
      <c r="D2186" s="429">
        <v>225</v>
      </c>
      <c r="E2186" s="429">
        <v>5.65</v>
      </c>
      <c r="F2186" s="429">
        <v>6.33</v>
      </c>
      <c r="G2186" s="429">
        <v>6.93</v>
      </c>
      <c r="H2186" s="429">
        <v>6.68</v>
      </c>
      <c r="I2186" s="429">
        <v>6.24</v>
      </c>
      <c r="J2186" s="429">
        <v>5.87</v>
      </c>
      <c r="K2186" s="429">
        <v>5.3</v>
      </c>
      <c r="L2186" s="429">
        <v>5.0599999999999996</v>
      </c>
      <c r="M2186" s="429">
        <v>5</v>
      </c>
      <c r="N2186" s="429">
        <v>5.63</v>
      </c>
      <c r="O2186" s="429">
        <v>5.99</v>
      </c>
      <c r="P2186" s="429">
        <v>5.3</v>
      </c>
      <c r="Q2186" s="179">
        <f t="shared" si="67"/>
        <v>5.8316666666666661</v>
      </c>
      <c r="R2186" s="179" t="s">
        <v>993</v>
      </c>
    </row>
    <row r="2187" spans="1:18" x14ac:dyDescent="0.15">
      <c r="A2187" s="179" t="str">
        <f t="shared" si="66"/>
        <v>Zapopan_Optimal Year Round_247.5</v>
      </c>
      <c r="B2187" s="429" t="s">
        <v>1168</v>
      </c>
      <c r="C2187" s="429">
        <v>21</v>
      </c>
      <c r="D2187" s="429">
        <v>247.5</v>
      </c>
      <c r="E2187" s="429">
        <v>5.21</v>
      </c>
      <c r="F2187" s="429">
        <v>5.83</v>
      </c>
      <c r="G2187" s="429">
        <v>6.38</v>
      </c>
      <c r="H2187" s="429">
        <v>6.15</v>
      </c>
      <c r="I2187" s="429">
        <v>5.75</v>
      </c>
      <c r="J2187" s="429">
        <v>5.41</v>
      </c>
      <c r="K2187" s="429">
        <v>4.88</v>
      </c>
      <c r="L2187" s="429">
        <v>4.66</v>
      </c>
      <c r="M2187" s="429">
        <v>4.5999999999999996</v>
      </c>
      <c r="N2187" s="429">
        <v>5.19</v>
      </c>
      <c r="O2187" s="429">
        <v>5.52</v>
      </c>
      <c r="P2187" s="429">
        <v>4.88</v>
      </c>
      <c r="Q2187" s="179">
        <f t="shared" si="67"/>
        <v>5.371666666666667</v>
      </c>
      <c r="R2187" s="179" t="s">
        <v>993</v>
      </c>
    </row>
    <row r="2188" spans="1:18" x14ac:dyDescent="0.15">
      <c r="A2188" s="179" t="str">
        <f t="shared" si="66"/>
        <v>Zapopan_Optimal Year Round_270</v>
      </c>
      <c r="B2188" s="429" t="s">
        <v>1168</v>
      </c>
      <c r="C2188" s="429">
        <v>21</v>
      </c>
      <c r="D2188" s="429">
        <v>270</v>
      </c>
      <c r="E2188" s="429">
        <v>4.76</v>
      </c>
      <c r="F2188" s="429">
        <v>5.33</v>
      </c>
      <c r="G2188" s="429">
        <v>5.83</v>
      </c>
      <c r="H2188" s="429">
        <v>5.62</v>
      </c>
      <c r="I2188" s="429">
        <v>5.26</v>
      </c>
      <c r="J2188" s="429">
        <v>4.9400000000000004</v>
      </c>
      <c r="K2188" s="429">
        <v>4.46</v>
      </c>
      <c r="L2188" s="429">
        <v>4.26</v>
      </c>
      <c r="M2188" s="429">
        <v>4.21</v>
      </c>
      <c r="N2188" s="429">
        <v>4.74</v>
      </c>
      <c r="O2188" s="429">
        <v>5.05</v>
      </c>
      <c r="P2188" s="429">
        <v>4.46</v>
      </c>
      <c r="Q2188" s="179">
        <f t="shared" si="67"/>
        <v>4.9099999999999993</v>
      </c>
      <c r="R2188" s="179" t="s">
        <v>993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84"/>
  <sheetViews>
    <sheetView workbookViewId="0">
      <selection sqref="A1:A8"/>
    </sheetView>
  </sheetViews>
  <sheetFormatPr defaultRowHeight="10.5" x14ac:dyDescent="0.15"/>
  <cols>
    <col min="1" max="1" width="3.5703125" style="53" bestFit="1" customWidth="1"/>
    <col min="2" max="2" width="21.7109375" style="14" bestFit="1" customWidth="1"/>
    <col min="3" max="3" width="27.7109375" style="14" bestFit="1" customWidth="1"/>
    <col min="4" max="4" width="17.7109375" style="14" bestFit="1" customWidth="1"/>
    <col min="5" max="5" width="10.28515625" style="14" bestFit="1" customWidth="1"/>
    <col min="6" max="6" width="16.7109375" style="14" bestFit="1" customWidth="1"/>
    <col min="7" max="16384" width="9.140625" style="14"/>
  </cols>
  <sheetData>
    <row r="1" spans="1:4" s="53" customFormat="1" ht="12.75" customHeight="1" x14ac:dyDescent="0.15">
      <c r="A1" s="871" t="s">
        <v>162</v>
      </c>
      <c r="B1" s="66" t="s">
        <v>163</v>
      </c>
      <c r="C1" s="67" t="s">
        <v>164</v>
      </c>
      <c r="D1" s="179"/>
    </row>
    <row r="2" spans="1:4" ht="10.5" customHeight="1" x14ac:dyDescent="0.15">
      <c r="A2" s="872"/>
      <c r="B2" s="202" t="s">
        <v>617</v>
      </c>
      <c r="C2" s="64" t="s">
        <v>842</v>
      </c>
      <c r="D2" s="179"/>
    </row>
    <row r="3" spans="1:4" x14ac:dyDescent="0.15">
      <c r="A3" s="872"/>
      <c r="B3" s="202" t="s">
        <v>619</v>
      </c>
      <c r="C3" s="64" t="s">
        <v>841</v>
      </c>
      <c r="D3" s="179"/>
    </row>
    <row r="4" spans="1:4" x14ac:dyDescent="0.15">
      <c r="A4" s="872"/>
      <c r="B4" s="202" t="s">
        <v>64</v>
      </c>
      <c r="C4" s="64" t="s">
        <v>51</v>
      </c>
      <c r="D4" s="179"/>
    </row>
    <row r="5" spans="1:4" x14ac:dyDescent="0.15">
      <c r="A5" s="872"/>
      <c r="B5" s="202" t="s">
        <v>138</v>
      </c>
      <c r="C5" s="64" t="s">
        <v>52</v>
      </c>
      <c r="D5" s="179"/>
    </row>
    <row r="6" spans="1:4" x14ac:dyDescent="0.15">
      <c r="A6" s="872"/>
      <c r="B6" s="202" t="s">
        <v>840</v>
      </c>
      <c r="C6" s="64" t="s">
        <v>54</v>
      </c>
      <c r="D6" s="179"/>
    </row>
    <row r="7" spans="1:4" x14ac:dyDescent="0.15">
      <c r="A7" s="872"/>
      <c r="B7" s="202" t="s">
        <v>797</v>
      </c>
      <c r="C7" s="64" t="s">
        <v>55</v>
      </c>
      <c r="D7" s="179"/>
    </row>
    <row r="8" spans="1:4" x14ac:dyDescent="0.15">
      <c r="A8" s="873"/>
      <c r="B8" s="203"/>
      <c r="C8" s="65"/>
      <c r="D8" s="179"/>
    </row>
    <row r="10" spans="1:4" x14ac:dyDescent="0.15">
      <c r="A10" s="871" t="s">
        <v>165</v>
      </c>
      <c r="B10" s="67" t="s">
        <v>163</v>
      </c>
    </row>
    <row r="11" spans="1:4" s="53" customFormat="1" x14ac:dyDescent="0.15">
      <c r="A11" s="872"/>
      <c r="B11" s="64" t="s">
        <v>114</v>
      </c>
    </row>
    <row r="12" spans="1:4" s="53" customFormat="1" x14ac:dyDescent="0.15">
      <c r="A12" s="872"/>
      <c r="B12" s="64" t="s">
        <v>56</v>
      </c>
    </row>
    <row r="13" spans="1:4" x14ac:dyDescent="0.15">
      <c r="A13" s="873"/>
      <c r="B13" s="65"/>
    </row>
    <row r="14" spans="1:4" s="179" customFormat="1" x14ac:dyDescent="0.15"/>
    <row r="15" spans="1:4" s="179" customFormat="1" x14ac:dyDescent="0.15">
      <c r="A15" s="871" t="s">
        <v>240</v>
      </c>
      <c r="B15" s="67" t="s">
        <v>163</v>
      </c>
    </row>
    <row r="16" spans="1:4" s="179" customFormat="1" x14ac:dyDescent="0.15">
      <c r="A16" s="872"/>
      <c r="B16" s="201">
        <v>1</v>
      </c>
    </row>
    <row r="17" spans="1:4" s="179" customFormat="1" x14ac:dyDescent="0.15">
      <c r="A17" s="872"/>
      <c r="B17" s="64" t="s">
        <v>40</v>
      </c>
    </row>
    <row r="18" spans="1:4" s="179" customFormat="1" x14ac:dyDescent="0.15">
      <c r="A18" s="872"/>
      <c r="B18" s="64" t="s">
        <v>41</v>
      </c>
    </row>
    <row r="19" spans="1:4" s="179" customFormat="1" x14ac:dyDescent="0.15">
      <c r="A19" s="872"/>
      <c r="B19" s="64" t="s">
        <v>42</v>
      </c>
    </row>
    <row r="20" spans="1:4" s="179" customFormat="1" x14ac:dyDescent="0.15">
      <c r="A20" s="872"/>
      <c r="B20" s="64" t="s">
        <v>43</v>
      </c>
    </row>
    <row r="21" spans="1:4" s="179" customFormat="1" x14ac:dyDescent="0.15">
      <c r="A21" s="872"/>
      <c r="B21" s="64" t="s">
        <v>44</v>
      </c>
    </row>
    <row r="22" spans="1:4" s="179" customFormat="1" x14ac:dyDescent="0.15">
      <c r="A22" s="872"/>
      <c r="B22" s="64" t="s">
        <v>45</v>
      </c>
    </row>
    <row r="23" spans="1:4" s="179" customFormat="1" x14ac:dyDescent="0.15">
      <c r="A23" s="873"/>
      <c r="B23" s="65"/>
    </row>
    <row r="25" spans="1:4" x14ac:dyDescent="0.15">
      <c r="A25" s="874" t="s">
        <v>235</v>
      </c>
      <c r="B25" s="177">
        <v>1</v>
      </c>
    </row>
    <row r="26" spans="1:4" x14ac:dyDescent="0.15">
      <c r="A26" s="875"/>
      <c r="B26" s="176">
        <v>2</v>
      </c>
    </row>
    <row r="27" spans="1:4" s="179" customFormat="1" x14ac:dyDescent="0.15">
      <c r="A27" s="876"/>
      <c r="B27" s="175">
        <v>3</v>
      </c>
    </row>
    <row r="29" spans="1:4" x14ac:dyDescent="0.15">
      <c r="A29" s="877" t="s">
        <v>576</v>
      </c>
      <c r="B29" s="363" t="s">
        <v>572</v>
      </c>
      <c r="C29" s="364" t="s">
        <v>574</v>
      </c>
      <c r="D29" s="364" t="s">
        <v>575</v>
      </c>
    </row>
    <row r="30" spans="1:4" x14ac:dyDescent="0.15">
      <c r="A30" s="879"/>
      <c r="B30" s="374">
        <v>1</v>
      </c>
      <c r="C30" s="365">
        <v>250</v>
      </c>
      <c r="D30" s="366">
        <f>C30*12</f>
        <v>3000</v>
      </c>
    </row>
    <row r="31" spans="1:4" x14ac:dyDescent="0.15">
      <c r="A31" s="879"/>
      <c r="B31" s="374" t="s">
        <v>40</v>
      </c>
      <c r="C31" s="365">
        <v>300</v>
      </c>
      <c r="D31" s="366">
        <f t="shared" ref="D31:D36" si="0">C31*12</f>
        <v>3600</v>
      </c>
    </row>
    <row r="32" spans="1:4" x14ac:dyDescent="0.15">
      <c r="A32" s="879"/>
      <c r="B32" s="374" t="s">
        <v>41</v>
      </c>
      <c r="C32" s="365">
        <v>400</v>
      </c>
      <c r="D32" s="366">
        <f t="shared" si="0"/>
        <v>4800</v>
      </c>
    </row>
    <row r="33" spans="1:4" x14ac:dyDescent="0.15">
      <c r="A33" s="879"/>
      <c r="B33" s="374" t="s">
        <v>42</v>
      </c>
      <c r="C33" s="365">
        <v>850</v>
      </c>
      <c r="D33" s="366">
        <f t="shared" si="0"/>
        <v>10200</v>
      </c>
    </row>
    <row r="34" spans="1:4" x14ac:dyDescent="0.15">
      <c r="A34" s="879"/>
      <c r="B34" s="374" t="s">
        <v>43</v>
      </c>
      <c r="C34" s="365">
        <v>1000</v>
      </c>
      <c r="D34" s="366">
        <f t="shared" si="0"/>
        <v>12000</v>
      </c>
    </row>
    <row r="35" spans="1:4" x14ac:dyDescent="0.15">
      <c r="A35" s="879"/>
      <c r="B35" s="374" t="s">
        <v>44</v>
      </c>
      <c r="C35" s="365">
        <v>2000</v>
      </c>
      <c r="D35" s="366">
        <f t="shared" si="0"/>
        <v>24000</v>
      </c>
    </row>
    <row r="36" spans="1:4" x14ac:dyDescent="0.15">
      <c r="A36" s="880"/>
      <c r="B36" s="375" t="s">
        <v>45</v>
      </c>
      <c r="C36" s="367">
        <v>2500</v>
      </c>
      <c r="D36" s="368">
        <f t="shared" si="0"/>
        <v>30000</v>
      </c>
    </row>
    <row r="38" spans="1:4" x14ac:dyDescent="0.15">
      <c r="A38" s="877" t="s">
        <v>24</v>
      </c>
      <c r="B38" s="66" t="s">
        <v>678</v>
      </c>
      <c r="C38" s="199" t="s">
        <v>24</v>
      </c>
      <c r="D38" s="67" t="s">
        <v>112</v>
      </c>
    </row>
    <row r="39" spans="1:4" s="179" customFormat="1" x14ac:dyDescent="0.15">
      <c r="A39" s="878"/>
      <c r="B39" s="202" t="s">
        <v>614</v>
      </c>
      <c r="C39" s="63" t="s">
        <v>615</v>
      </c>
      <c r="D39" s="64" t="s">
        <v>64</v>
      </c>
    </row>
    <row r="40" spans="1:4" x14ac:dyDescent="0.15">
      <c r="A40" s="879"/>
      <c r="B40" s="202" t="s">
        <v>616</v>
      </c>
      <c r="C40" s="63" t="s">
        <v>617</v>
      </c>
      <c r="D40" s="64" t="s">
        <v>617</v>
      </c>
    </row>
    <row r="41" spans="1:4" x14ac:dyDescent="0.15">
      <c r="A41" s="879"/>
      <c r="B41" s="202" t="s">
        <v>618</v>
      </c>
      <c r="C41" s="63" t="s">
        <v>619</v>
      </c>
      <c r="D41" s="64" t="s">
        <v>619</v>
      </c>
    </row>
    <row r="42" spans="1:4" x14ac:dyDescent="0.15">
      <c r="A42" s="879"/>
      <c r="B42" s="202" t="s">
        <v>620</v>
      </c>
      <c r="C42" s="63" t="s">
        <v>621</v>
      </c>
      <c r="D42" s="64" t="s">
        <v>797</v>
      </c>
    </row>
    <row r="43" spans="1:4" x14ac:dyDescent="0.15">
      <c r="A43" s="879"/>
      <c r="B43" s="202" t="s">
        <v>622</v>
      </c>
      <c r="C43" s="63" t="s">
        <v>623</v>
      </c>
      <c r="D43" s="64" t="s">
        <v>797</v>
      </c>
    </row>
    <row r="44" spans="1:4" x14ac:dyDescent="0.15">
      <c r="A44" s="879"/>
      <c r="B44" s="202" t="s">
        <v>624</v>
      </c>
      <c r="C44" s="63" t="s">
        <v>625</v>
      </c>
      <c r="D44" s="64" t="s">
        <v>840</v>
      </c>
    </row>
    <row r="45" spans="1:4" x14ac:dyDescent="0.15">
      <c r="A45" s="879"/>
      <c r="B45" s="202" t="s">
        <v>626</v>
      </c>
      <c r="C45" s="63" t="s">
        <v>627</v>
      </c>
      <c r="D45" s="64" t="s">
        <v>840</v>
      </c>
    </row>
    <row r="46" spans="1:4" x14ac:dyDescent="0.15">
      <c r="A46" s="879"/>
      <c r="B46" s="202" t="s">
        <v>628</v>
      </c>
      <c r="C46" s="63" t="s">
        <v>629</v>
      </c>
      <c r="D46" s="64" t="s">
        <v>64</v>
      </c>
    </row>
    <row r="47" spans="1:4" x14ac:dyDescent="0.15">
      <c r="A47" s="879"/>
      <c r="B47" s="202" t="s">
        <v>630</v>
      </c>
      <c r="C47" s="63" t="s">
        <v>631</v>
      </c>
      <c r="D47" s="64" t="s">
        <v>64</v>
      </c>
    </row>
    <row r="48" spans="1:4" x14ac:dyDescent="0.15">
      <c r="A48" s="879"/>
      <c r="B48" s="202" t="s">
        <v>632</v>
      </c>
      <c r="C48" s="63" t="s">
        <v>633</v>
      </c>
      <c r="D48" s="64" t="s">
        <v>840</v>
      </c>
    </row>
    <row r="49" spans="1:4" x14ac:dyDescent="0.15">
      <c r="A49" s="879"/>
      <c r="B49" s="202" t="s">
        <v>634</v>
      </c>
      <c r="C49" s="63" t="s">
        <v>635</v>
      </c>
      <c r="D49" s="64" t="s">
        <v>64</v>
      </c>
    </row>
    <row r="50" spans="1:4" x14ac:dyDescent="0.15">
      <c r="A50" s="879"/>
      <c r="B50" s="202" t="s">
        <v>636</v>
      </c>
      <c r="C50" s="63" t="s">
        <v>637</v>
      </c>
      <c r="D50" s="64" t="s">
        <v>797</v>
      </c>
    </row>
    <row r="51" spans="1:4" x14ac:dyDescent="0.15">
      <c r="A51" s="879"/>
      <c r="B51" s="202" t="s">
        <v>638</v>
      </c>
      <c r="C51" s="63" t="s">
        <v>639</v>
      </c>
      <c r="D51" s="64" t="s">
        <v>64</v>
      </c>
    </row>
    <row r="52" spans="1:4" x14ac:dyDescent="0.15">
      <c r="A52" s="879"/>
      <c r="B52" s="202" t="s">
        <v>640</v>
      </c>
      <c r="C52" s="63" t="s">
        <v>641</v>
      </c>
      <c r="D52" s="64" t="s">
        <v>64</v>
      </c>
    </row>
    <row r="53" spans="1:4" x14ac:dyDescent="0.15">
      <c r="A53" s="879"/>
      <c r="B53" s="202" t="s">
        <v>642</v>
      </c>
      <c r="C53" s="63" t="s">
        <v>643</v>
      </c>
      <c r="D53" s="64" t="s">
        <v>64</v>
      </c>
    </row>
    <row r="54" spans="1:4" x14ac:dyDescent="0.15">
      <c r="A54" s="879"/>
      <c r="B54" s="202" t="s">
        <v>644</v>
      </c>
      <c r="C54" s="63" t="s">
        <v>645</v>
      </c>
      <c r="D54" s="64" t="s">
        <v>64</v>
      </c>
    </row>
    <row r="55" spans="1:4" x14ac:dyDescent="0.15">
      <c r="A55" s="879"/>
      <c r="B55" s="202" t="s">
        <v>646</v>
      </c>
      <c r="C55" s="63" t="s">
        <v>647</v>
      </c>
      <c r="D55" s="64" t="s">
        <v>64</v>
      </c>
    </row>
    <row r="56" spans="1:4" x14ac:dyDescent="0.15">
      <c r="A56" s="879"/>
      <c r="B56" s="202" t="s">
        <v>648</v>
      </c>
      <c r="C56" s="63" t="s">
        <v>649</v>
      </c>
      <c r="D56" s="64" t="s">
        <v>64</v>
      </c>
    </row>
    <row r="57" spans="1:4" x14ac:dyDescent="0.15">
      <c r="A57" s="879"/>
      <c r="B57" s="202" t="s">
        <v>650</v>
      </c>
      <c r="C57" s="63" t="s">
        <v>651</v>
      </c>
      <c r="D57" s="64" t="s">
        <v>840</v>
      </c>
    </row>
    <row r="58" spans="1:4" x14ac:dyDescent="0.15">
      <c r="A58" s="879"/>
      <c r="B58" s="202" t="s">
        <v>652</v>
      </c>
      <c r="C58" s="63" t="s">
        <v>653</v>
      </c>
      <c r="D58" s="64" t="s">
        <v>797</v>
      </c>
    </row>
    <row r="59" spans="1:4" x14ac:dyDescent="0.15">
      <c r="A59" s="879"/>
      <c r="B59" s="202" t="s">
        <v>654</v>
      </c>
      <c r="C59" s="63" t="s">
        <v>655</v>
      </c>
      <c r="D59" s="64" t="s">
        <v>64</v>
      </c>
    </row>
    <row r="60" spans="1:4" x14ac:dyDescent="0.15">
      <c r="A60" s="879"/>
      <c r="B60" s="202" t="s">
        <v>656</v>
      </c>
      <c r="C60" s="63" t="s">
        <v>657</v>
      </c>
      <c r="D60" s="64" t="s">
        <v>64</v>
      </c>
    </row>
    <row r="61" spans="1:4" x14ac:dyDescent="0.15">
      <c r="A61" s="879"/>
      <c r="B61" s="202" t="s">
        <v>658</v>
      </c>
      <c r="C61" s="63" t="s">
        <v>659</v>
      </c>
      <c r="D61" s="64" t="s">
        <v>797</v>
      </c>
    </row>
    <row r="62" spans="1:4" x14ac:dyDescent="0.15">
      <c r="A62" s="879"/>
      <c r="B62" s="202" t="s">
        <v>660</v>
      </c>
      <c r="C62" s="63" t="s">
        <v>661</v>
      </c>
      <c r="D62" s="64" t="s">
        <v>64</v>
      </c>
    </row>
    <row r="63" spans="1:4" x14ac:dyDescent="0.15">
      <c r="A63" s="879"/>
      <c r="B63" s="202" t="s">
        <v>662</v>
      </c>
      <c r="C63" s="63" t="s">
        <v>663</v>
      </c>
      <c r="D63" s="64" t="s">
        <v>138</v>
      </c>
    </row>
    <row r="64" spans="1:4" x14ac:dyDescent="0.15">
      <c r="A64" s="879"/>
      <c r="B64" s="202" t="s">
        <v>664</v>
      </c>
      <c r="C64" s="63" t="s">
        <v>665</v>
      </c>
      <c r="D64" s="64" t="s">
        <v>138</v>
      </c>
    </row>
    <row r="65" spans="1:4" x14ac:dyDescent="0.15">
      <c r="A65" s="879"/>
      <c r="B65" s="202" t="s">
        <v>666</v>
      </c>
      <c r="C65" s="63" t="s">
        <v>667</v>
      </c>
      <c r="D65" s="64" t="s">
        <v>797</v>
      </c>
    </row>
    <row r="66" spans="1:4" x14ac:dyDescent="0.15">
      <c r="A66" s="879"/>
      <c r="B66" s="202" t="s">
        <v>668</v>
      </c>
      <c r="C66" s="63" t="s">
        <v>669</v>
      </c>
      <c r="D66" s="64" t="s">
        <v>840</v>
      </c>
    </row>
    <row r="67" spans="1:4" x14ac:dyDescent="0.15">
      <c r="A67" s="879"/>
      <c r="B67" s="202" t="s">
        <v>670</v>
      </c>
      <c r="C67" s="63" t="s">
        <v>671</v>
      </c>
      <c r="D67" s="64" t="s">
        <v>64</v>
      </c>
    </row>
    <row r="68" spans="1:4" x14ac:dyDescent="0.15">
      <c r="A68" s="879"/>
      <c r="B68" s="202" t="s">
        <v>672</v>
      </c>
      <c r="C68" s="63" t="s">
        <v>673</v>
      </c>
      <c r="D68" s="64" t="s">
        <v>797</v>
      </c>
    </row>
    <row r="69" spans="1:4" x14ac:dyDescent="0.15">
      <c r="A69" s="879"/>
      <c r="B69" s="202" t="s">
        <v>674</v>
      </c>
      <c r="C69" s="63" t="s">
        <v>675</v>
      </c>
      <c r="D69" s="64" t="s">
        <v>797</v>
      </c>
    </row>
    <row r="70" spans="1:4" x14ac:dyDescent="0.15">
      <c r="A70" s="880"/>
      <c r="B70" s="203" t="s">
        <v>676</v>
      </c>
      <c r="C70" s="20" t="s">
        <v>677</v>
      </c>
      <c r="D70" s="65" t="s">
        <v>64</v>
      </c>
    </row>
    <row r="72" spans="1:4" s="179" customFormat="1" ht="12.75" customHeight="1" x14ac:dyDescent="0.15">
      <c r="A72" s="871" t="s">
        <v>869</v>
      </c>
      <c r="B72" s="363" t="s">
        <v>163</v>
      </c>
    </row>
    <row r="73" spans="1:4" s="179" customFormat="1" ht="10.5" customHeight="1" x14ac:dyDescent="0.15">
      <c r="A73" s="872"/>
      <c r="B73" s="176" t="s">
        <v>1117</v>
      </c>
    </row>
    <row r="74" spans="1:4" s="179" customFormat="1" ht="10.5" customHeight="1" x14ac:dyDescent="0.15">
      <c r="A74" s="872"/>
      <c r="B74" s="176" t="s">
        <v>615</v>
      </c>
    </row>
    <row r="75" spans="1:4" s="179" customFormat="1" ht="10.5" customHeight="1" x14ac:dyDescent="0.15">
      <c r="A75" s="872"/>
      <c r="B75" s="176" t="s">
        <v>1118</v>
      </c>
    </row>
    <row r="76" spans="1:4" s="179" customFormat="1" ht="10.5" customHeight="1" x14ac:dyDescent="0.15">
      <c r="A76" s="872"/>
      <c r="B76" s="176" t="s">
        <v>1119</v>
      </c>
    </row>
    <row r="77" spans="1:4" s="179" customFormat="1" ht="10.5" customHeight="1" x14ac:dyDescent="0.15">
      <c r="A77" s="872"/>
      <c r="B77" s="176" t="s">
        <v>1120</v>
      </c>
    </row>
    <row r="78" spans="1:4" s="179" customFormat="1" ht="10.5" customHeight="1" x14ac:dyDescent="0.15">
      <c r="A78" s="872"/>
      <c r="B78" s="176" t="s">
        <v>1121</v>
      </c>
    </row>
    <row r="79" spans="1:4" s="179" customFormat="1" ht="10.5" customHeight="1" x14ac:dyDescent="0.15">
      <c r="A79" s="872"/>
      <c r="B79" s="176" t="s">
        <v>621</v>
      </c>
    </row>
    <row r="80" spans="1:4" s="179" customFormat="1" ht="10.5" customHeight="1" x14ac:dyDescent="0.15">
      <c r="A80" s="872"/>
      <c r="B80" s="176" t="s">
        <v>987</v>
      </c>
    </row>
    <row r="81" spans="1:2" s="179" customFormat="1" ht="10.5" customHeight="1" x14ac:dyDescent="0.15">
      <c r="A81" s="872"/>
      <c r="B81" s="176" t="s">
        <v>630</v>
      </c>
    </row>
    <row r="82" spans="1:2" s="179" customFormat="1" ht="10.5" customHeight="1" x14ac:dyDescent="0.15">
      <c r="A82" s="872"/>
      <c r="B82" s="176" t="s">
        <v>1122</v>
      </c>
    </row>
    <row r="83" spans="1:2" s="179" customFormat="1" ht="10.5" customHeight="1" x14ac:dyDescent="0.15">
      <c r="A83" s="872"/>
      <c r="B83" s="176" t="s">
        <v>625</v>
      </c>
    </row>
    <row r="84" spans="1:2" s="179" customFormat="1" ht="10.5" customHeight="1" x14ac:dyDescent="0.15">
      <c r="A84" s="872"/>
      <c r="B84" s="176" t="s">
        <v>1123</v>
      </c>
    </row>
    <row r="85" spans="1:2" s="179" customFormat="1" ht="10.5" customHeight="1" x14ac:dyDescent="0.15">
      <c r="A85" s="872"/>
      <c r="B85" s="176" t="s">
        <v>1124</v>
      </c>
    </row>
    <row r="86" spans="1:2" s="179" customFormat="1" ht="10.5" customHeight="1" x14ac:dyDescent="0.15">
      <c r="A86" s="872"/>
      <c r="B86" s="176" t="s">
        <v>1125</v>
      </c>
    </row>
    <row r="87" spans="1:2" s="179" customFormat="1" ht="10.5" customHeight="1" x14ac:dyDescent="0.15">
      <c r="A87" s="872"/>
      <c r="B87" s="176" t="s">
        <v>1126</v>
      </c>
    </row>
    <row r="88" spans="1:2" s="179" customFormat="1" ht="10.5" customHeight="1" x14ac:dyDescent="0.15">
      <c r="A88" s="872"/>
      <c r="B88" s="176" t="s">
        <v>1127</v>
      </c>
    </row>
    <row r="89" spans="1:2" s="179" customFormat="1" ht="10.5" customHeight="1" x14ac:dyDescent="0.15">
      <c r="A89" s="872"/>
      <c r="B89" s="176" t="s">
        <v>1128</v>
      </c>
    </row>
    <row r="90" spans="1:2" s="179" customFormat="1" ht="10.5" customHeight="1" x14ac:dyDescent="0.15">
      <c r="A90" s="872"/>
      <c r="B90" s="176" t="s">
        <v>1129</v>
      </c>
    </row>
    <row r="91" spans="1:2" s="179" customFormat="1" ht="10.5" customHeight="1" x14ac:dyDescent="0.15">
      <c r="A91" s="872"/>
      <c r="B91" s="176" t="s">
        <v>1130</v>
      </c>
    </row>
    <row r="92" spans="1:2" s="179" customFormat="1" ht="10.5" customHeight="1" x14ac:dyDescent="0.15">
      <c r="A92" s="872"/>
      <c r="B92" s="176" t="s">
        <v>1131</v>
      </c>
    </row>
    <row r="93" spans="1:2" s="179" customFormat="1" ht="10.5" customHeight="1" x14ac:dyDescent="0.15">
      <c r="A93" s="872"/>
      <c r="B93" s="176" t="s">
        <v>1132</v>
      </c>
    </row>
    <row r="94" spans="1:2" s="179" customFormat="1" ht="10.5" customHeight="1" x14ac:dyDescent="0.15">
      <c r="A94" s="872"/>
      <c r="B94" s="176" t="s">
        <v>1133</v>
      </c>
    </row>
    <row r="95" spans="1:2" s="179" customFormat="1" ht="10.5" customHeight="1" x14ac:dyDescent="0.15">
      <c r="A95" s="872"/>
      <c r="B95" s="176" t="s">
        <v>1134</v>
      </c>
    </row>
    <row r="96" spans="1:2" s="179" customFormat="1" ht="10.5" customHeight="1" x14ac:dyDescent="0.15">
      <c r="A96" s="872"/>
      <c r="B96" s="176" t="s">
        <v>1135</v>
      </c>
    </row>
    <row r="97" spans="1:2" s="179" customFormat="1" ht="10.5" customHeight="1" x14ac:dyDescent="0.15">
      <c r="A97" s="872"/>
      <c r="B97" s="176" t="s">
        <v>633</v>
      </c>
    </row>
    <row r="98" spans="1:2" s="179" customFormat="1" ht="10.5" customHeight="1" x14ac:dyDescent="0.15">
      <c r="A98" s="872"/>
      <c r="B98" s="176" t="s">
        <v>1136</v>
      </c>
    </row>
    <row r="99" spans="1:2" s="179" customFormat="1" ht="10.5" customHeight="1" x14ac:dyDescent="0.15">
      <c r="A99" s="872"/>
      <c r="B99" s="176" t="s">
        <v>1137</v>
      </c>
    </row>
    <row r="100" spans="1:2" s="179" customFormat="1" ht="10.5" customHeight="1" x14ac:dyDescent="0.15">
      <c r="A100" s="872"/>
      <c r="B100" s="176" t="s">
        <v>1138</v>
      </c>
    </row>
    <row r="101" spans="1:2" s="179" customFormat="1" ht="10.5" customHeight="1" x14ac:dyDescent="0.15">
      <c r="A101" s="872"/>
      <c r="B101" s="176" t="s">
        <v>1139</v>
      </c>
    </row>
    <row r="102" spans="1:2" s="179" customFormat="1" ht="10.5" customHeight="1" x14ac:dyDescent="0.15">
      <c r="A102" s="872"/>
      <c r="B102" s="176" t="s">
        <v>866</v>
      </c>
    </row>
    <row r="103" spans="1:2" s="179" customFormat="1" ht="10.5" customHeight="1" x14ac:dyDescent="0.15">
      <c r="A103" s="872"/>
      <c r="B103" s="176" t="s">
        <v>1140</v>
      </c>
    </row>
    <row r="104" spans="1:2" s="179" customFormat="1" ht="10.5" customHeight="1" x14ac:dyDescent="0.15">
      <c r="A104" s="872"/>
      <c r="B104" s="176" t="s">
        <v>1141</v>
      </c>
    </row>
    <row r="105" spans="1:2" s="179" customFormat="1" ht="10.5" customHeight="1" x14ac:dyDescent="0.15">
      <c r="A105" s="872"/>
      <c r="B105" s="176" t="s">
        <v>1142</v>
      </c>
    </row>
    <row r="106" spans="1:2" s="179" customFormat="1" ht="10.5" customHeight="1" x14ac:dyDescent="0.15">
      <c r="A106" s="872"/>
      <c r="B106" s="176" t="s">
        <v>1143</v>
      </c>
    </row>
    <row r="107" spans="1:2" s="179" customFormat="1" ht="10.5" customHeight="1" x14ac:dyDescent="0.15">
      <c r="A107" s="872"/>
      <c r="B107" s="176" t="s">
        <v>1144</v>
      </c>
    </row>
    <row r="108" spans="1:2" s="179" customFormat="1" ht="10.5" customHeight="1" x14ac:dyDescent="0.15">
      <c r="A108" s="872"/>
      <c r="B108" s="176" t="s">
        <v>1145</v>
      </c>
    </row>
    <row r="109" spans="1:2" s="179" customFormat="1" ht="10.5" customHeight="1" x14ac:dyDescent="0.15">
      <c r="A109" s="872"/>
      <c r="B109" s="176" t="s">
        <v>1146</v>
      </c>
    </row>
    <row r="110" spans="1:2" s="179" customFormat="1" ht="10.5" customHeight="1" x14ac:dyDescent="0.15">
      <c r="A110" s="872"/>
      <c r="B110" s="176" t="s">
        <v>1147</v>
      </c>
    </row>
    <row r="111" spans="1:2" s="179" customFormat="1" ht="10.5" customHeight="1" x14ac:dyDescent="0.15">
      <c r="A111" s="872"/>
      <c r="B111" s="176" t="s">
        <v>988</v>
      </c>
    </row>
    <row r="112" spans="1:2" s="179" customFormat="1" ht="10.5" customHeight="1" x14ac:dyDescent="0.15">
      <c r="A112" s="872"/>
      <c r="B112" s="176" t="s">
        <v>1148</v>
      </c>
    </row>
    <row r="113" spans="1:2" s="179" customFormat="1" ht="10.5" customHeight="1" x14ac:dyDescent="0.15">
      <c r="A113" s="872"/>
      <c r="B113" s="176" t="s">
        <v>1149</v>
      </c>
    </row>
    <row r="114" spans="1:2" s="179" customFormat="1" ht="10.5" customHeight="1" x14ac:dyDescent="0.15">
      <c r="A114" s="872"/>
      <c r="B114" s="176" t="s">
        <v>1150</v>
      </c>
    </row>
    <row r="115" spans="1:2" s="179" customFormat="1" ht="10.5" customHeight="1" x14ac:dyDescent="0.15">
      <c r="A115" s="872"/>
      <c r="B115" s="176" t="s">
        <v>1151</v>
      </c>
    </row>
    <row r="116" spans="1:2" s="179" customFormat="1" ht="10.5" customHeight="1" x14ac:dyDescent="0.15">
      <c r="A116" s="872"/>
      <c r="B116" s="176" t="s">
        <v>989</v>
      </c>
    </row>
    <row r="117" spans="1:2" s="179" customFormat="1" ht="10.5" customHeight="1" x14ac:dyDescent="0.15">
      <c r="A117" s="872"/>
      <c r="B117" s="176" t="s">
        <v>990</v>
      </c>
    </row>
    <row r="118" spans="1:2" s="179" customFormat="1" ht="10.5" customHeight="1" x14ac:dyDescent="0.15">
      <c r="A118" s="872"/>
      <c r="B118" s="176" t="s">
        <v>1000</v>
      </c>
    </row>
    <row r="119" spans="1:2" s="179" customFormat="1" ht="10.5" customHeight="1" x14ac:dyDescent="0.15">
      <c r="A119" s="872"/>
      <c r="B119" s="176" t="s">
        <v>1001</v>
      </c>
    </row>
    <row r="120" spans="1:2" s="179" customFormat="1" ht="10.5" customHeight="1" x14ac:dyDescent="0.15">
      <c r="A120" s="872"/>
      <c r="B120" s="176" t="s">
        <v>863</v>
      </c>
    </row>
    <row r="121" spans="1:2" s="179" customFormat="1" ht="10.5" customHeight="1" x14ac:dyDescent="0.15">
      <c r="A121" s="872"/>
      <c r="B121" s="176" t="s">
        <v>1002</v>
      </c>
    </row>
    <row r="122" spans="1:2" s="179" customFormat="1" ht="10.5" customHeight="1" x14ac:dyDescent="0.15">
      <c r="A122" s="872"/>
      <c r="B122" s="176" t="s">
        <v>1003</v>
      </c>
    </row>
    <row r="123" spans="1:2" s="179" customFormat="1" ht="10.5" customHeight="1" x14ac:dyDescent="0.15">
      <c r="A123" s="872"/>
      <c r="B123" s="176" t="s">
        <v>1152</v>
      </c>
    </row>
    <row r="124" spans="1:2" s="179" customFormat="1" ht="10.5" customHeight="1" x14ac:dyDescent="0.15">
      <c r="A124" s="872"/>
      <c r="B124" s="176" t="s">
        <v>1004</v>
      </c>
    </row>
    <row r="125" spans="1:2" s="179" customFormat="1" ht="10.5" customHeight="1" x14ac:dyDescent="0.15">
      <c r="A125" s="872"/>
      <c r="B125" s="176" t="s">
        <v>1005</v>
      </c>
    </row>
    <row r="126" spans="1:2" s="179" customFormat="1" ht="10.5" customHeight="1" x14ac:dyDescent="0.15">
      <c r="A126" s="872"/>
      <c r="B126" s="176" t="s">
        <v>1006</v>
      </c>
    </row>
    <row r="127" spans="1:2" s="179" customFormat="1" ht="10.5" customHeight="1" x14ac:dyDescent="0.15">
      <c r="A127" s="872"/>
      <c r="B127" s="176" t="s">
        <v>655</v>
      </c>
    </row>
    <row r="128" spans="1:2" s="179" customFormat="1" ht="10.5" customHeight="1" x14ac:dyDescent="0.15">
      <c r="A128" s="872"/>
      <c r="B128" s="176" t="s">
        <v>1007</v>
      </c>
    </row>
    <row r="129" spans="1:2" s="179" customFormat="1" ht="10.5" customHeight="1" x14ac:dyDescent="0.15">
      <c r="A129" s="872"/>
      <c r="B129" s="176" t="s">
        <v>991</v>
      </c>
    </row>
    <row r="130" spans="1:2" s="179" customFormat="1" ht="10.5" customHeight="1" x14ac:dyDescent="0.15">
      <c r="A130" s="872"/>
      <c r="B130" s="176" t="s">
        <v>1008</v>
      </c>
    </row>
    <row r="131" spans="1:2" s="179" customFormat="1" x14ac:dyDescent="0.15">
      <c r="A131" s="872"/>
      <c r="B131" s="176" t="s">
        <v>1009</v>
      </c>
    </row>
    <row r="132" spans="1:2" s="179" customFormat="1" x14ac:dyDescent="0.15">
      <c r="A132" s="872"/>
      <c r="B132" s="176" t="s">
        <v>992</v>
      </c>
    </row>
    <row r="133" spans="1:2" s="179" customFormat="1" x14ac:dyDescent="0.15">
      <c r="A133" s="872"/>
      <c r="B133" s="176" t="s">
        <v>1010</v>
      </c>
    </row>
    <row r="134" spans="1:2" s="179" customFormat="1" x14ac:dyDescent="0.15">
      <c r="A134" s="872"/>
      <c r="B134" s="176" t="s">
        <v>1011</v>
      </c>
    </row>
    <row r="135" spans="1:2" s="179" customFormat="1" x14ac:dyDescent="0.15">
      <c r="A135" s="872"/>
      <c r="B135" s="176" t="s">
        <v>1153</v>
      </c>
    </row>
    <row r="136" spans="1:2" s="179" customFormat="1" x14ac:dyDescent="0.15">
      <c r="A136" s="872"/>
      <c r="B136" s="176" t="s">
        <v>1154</v>
      </c>
    </row>
    <row r="137" spans="1:2" s="179" customFormat="1" x14ac:dyDescent="0.15">
      <c r="A137" s="872"/>
      <c r="B137" s="176" t="s">
        <v>1155</v>
      </c>
    </row>
    <row r="138" spans="1:2" s="179" customFormat="1" x14ac:dyDescent="0.15">
      <c r="A138" s="872"/>
      <c r="B138" s="176" t="s">
        <v>864</v>
      </c>
    </row>
    <row r="139" spans="1:2" s="179" customFormat="1" x14ac:dyDescent="0.15">
      <c r="A139" s="872"/>
      <c r="B139" s="176" t="s">
        <v>865</v>
      </c>
    </row>
    <row r="140" spans="1:2" s="179" customFormat="1" x14ac:dyDescent="0.15">
      <c r="A140" s="872"/>
      <c r="B140" s="176" t="s">
        <v>1156</v>
      </c>
    </row>
    <row r="141" spans="1:2" s="179" customFormat="1" x14ac:dyDescent="0.15">
      <c r="A141" s="872"/>
      <c r="B141" s="176" t="s">
        <v>1157</v>
      </c>
    </row>
    <row r="142" spans="1:2" s="179" customFormat="1" x14ac:dyDescent="0.15">
      <c r="A142" s="872"/>
      <c r="B142" s="176" t="s">
        <v>1158</v>
      </c>
    </row>
    <row r="143" spans="1:2" s="179" customFormat="1" x14ac:dyDescent="0.15">
      <c r="A143" s="872"/>
      <c r="B143" s="176" t="s">
        <v>1159</v>
      </c>
    </row>
    <row r="144" spans="1:2" s="179" customFormat="1" x14ac:dyDescent="0.15">
      <c r="A144" s="872"/>
      <c r="B144" s="176" t="s">
        <v>1160</v>
      </c>
    </row>
    <row r="145" spans="1:5" s="179" customFormat="1" x14ac:dyDescent="0.15">
      <c r="A145" s="872"/>
      <c r="B145" s="176" t="s">
        <v>1161</v>
      </c>
    </row>
    <row r="146" spans="1:5" s="179" customFormat="1" x14ac:dyDescent="0.15">
      <c r="A146" s="872"/>
      <c r="B146" s="176" t="s">
        <v>1162</v>
      </c>
    </row>
    <row r="147" spans="1:5" s="179" customFormat="1" x14ac:dyDescent="0.15">
      <c r="A147" s="872"/>
      <c r="B147" s="176" t="s">
        <v>1163</v>
      </c>
    </row>
    <row r="148" spans="1:5" s="179" customFormat="1" x14ac:dyDescent="0.15">
      <c r="A148" s="872"/>
      <c r="B148" s="176" t="s">
        <v>1164</v>
      </c>
    </row>
    <row r="149" spans="1:5" s="179" customFormat="1" x14ac:dyDescent="0.15">
      <c r="A149" s="872"/>
      <c r="B149" s="176" t="s">
        <v>1165</v>
      </c>
    </row>
    <row r="150" spans="1:5" s="179" customFormat="1" x14ac:dyDescent="0.15">
      <c r="A150" s="872"/>
      <c r="B150" s="176" t="s">
        <v>673</v>
      </c>
    </row>
    <row r="151" spans="1:5" s="179" customFormat="1" x14ac:dyDescent="0.15">
      <c r="A151" s="872"/>
      <c r="B151" s="176" t="s">
        <v>1166</v>
      </c>
    </row>
    <row r="152" spans="1:5" s="179" customFormat="1" x14ac:dyDescent="0.15">
      <c r="A152" s="872"/>
      <c r="B152" s="176" t="s">
        <v>1167</v>
      </c>
    </row>
    <row r="153" spans="1:5" s="179" customFormat="1" x14ac:dyDescent="0.15">
      <c r="A153" s="872"/>
      <c r="B153" s="176" t="s">
        <v>1168</v>
      </c>
    </row>
    <row r="154" spans="1:5" s="179" customFormat="1" x14ac:dyDescent="0.15">
      <c r="A154" s="873"/>
      <c r="B154" s="175"/>
    </row>
    <row r="155" spans="1:5" s="179" customFormat="1" x14ac:dyDescent="0.15">
      <c r="A155" s="502"/>
      <c r="B155" s="63"/>
      <c r="C155" s="63"/>
      <c r="D155" s="63"/>
      <c r="E155" s="63"/>
    </row>
    <row r="156" spans="1:5" s="179" customFormat="1" x14ac:dyDescent="0.15">
      <c r="A156" s="871" t="s">
        <v>861</v>
      </c>
      <c r="B156" s="67" t="s">
        <v>163</v>
      </c>
      <c r="C156" s="63"/>
      <c r="D156" s="63"/>
      <c r="E156" s="63"/>
    </row>
    <row r="157" spans="1:5" s="179" customFormat="1" x14ac:dyDescent="0.15">
      <c r="A157" s="872"/>
      <c r="B157" s="64" t="s">
        <v>994</v>
      </c>
      <c r="C157" s="63"/>
      <c r="D157" s="63"/>
      <c r="E157" s="63"/>
    </row>
    <row r="158" spans="1:5" s="179" customFormat="1" x14ac:dyDescent="0.15">
      <c r="A158" s="872"/>
      <c r="B158" s="64" t="s">
        <v>958</v>
      </c>
      <c r="C158" s="63"/>
      <c r="D158" s="63"/>
      <c r="E158" s="63"/>
    </row>
    <row r="159" spans="1:5" s="179" customFormat="1" x14ac:dyDescent="0.15">
      <c r="A159" s="873"/>
      <c r="B159" s="65" t="s">
        <v>993</v>
      </c>
      <c r="C159" s="63"/>
      <c r="D159" s="63"/>
      <c r="E159" s="63"/>
    </row>
    <row r="160" spans="1:5" s="179" customFormat="1" x14ac:dyDescent="0.15"/>
    <row r="161" spans="1:3" x14ac:dyDescent="0.15">
      <c r="A161" s="871" t="s">
        <v>862</v>
      </c>
      <c r="B161" s="67" t="s">
        <v>163</v>
      </c>
    </row>
    <row r="162" spans="1:3" x14ac:dyDescent="0.15">
      <c r="A162" s="872"/>
      <c r="B162" s="432">
        <v>90</v>
      </c>
    </row>
    <row r="163" spans="1:3" x14ac:dyDescent="0.15">
      <c r="A163" s="872"/>
      <c r="B163" s="432">
        <v>112.5</v>
      </c>
    </row>
    <row r="164" spans="1:3" x14ac:dyDescent="0.15">
      <c r="A164" s="872"/>
      <c r="B164" s="432">
        <v>135</v>
      </c>
    </row>
    <row r="165" spans="1:3" x14ac:dyDescent="0.15">
      <c r="A165" s="872"/>
      <c r="B165" s="432">
        <v>157.5</v>
      </c>
    </row>
    <row r="166" spans="1:3" x14ac:dyDescent="0.15">
      <c r="A166" s="872"/>
      <c r="B166" s="432">
        <v>180</v>
      </c>
    </row>
    <row r="167" spans="1:3" x14ac:dyDescent="0.15">
      <c r="A167" s="872"/>
      <c r="B167" s="432">
        <v>202.5</v>
      </c>
    </row>
    <row r="168" spans="1:3" s="179" customFormat="1" x14ac:dyDescent="0.15">
      <c r="A168" s="872"/>
      <c r="B168" s="432">
        <v>225</v>
      </c>
    </row>
    <row r="169" spans="1:3" s="179" customFormat="1" x14ac:dyDescent="0.15">
      <c r="A169" s="872"/>
      <c r="B169" s="432">
        <v>247.5</v>
      </c>
    </row>
    <row r="170" spans="1:3" x14ac:dyDescent="0.15">
      <c r="A170" s="873"/>
      <c r="B170" s="433">
        <v>270</v>
      </c>
    </row>
    <row r="172" spans="1:3" s="179" customFormat="1" x14ac:dyDescent="0.15">
      <c r="A172" s="871" t="s">
        <v>886</v>
      </c>
      <c r="B172" s="66" t="s">
        <v>299</v>
      </c>
      <c r="C172" s="67" t="s">
        <v>678</v>
      </c>
    </row>
    <row r="173" spans="1:3" x14ac:dyDescent="0.15">
      <c r="A173" s="872"/>
      <c r="B173" s="202">
        <v>1</v>
      </c>
      <c r="C173" s="64" t="s">
        <v>783</v>
      </c>
    </row>
    <row r="174" spans="1:3" x14ac:dyDescent="0.15">
      <c r="A174" s="872"/>
      <c r="B174" s="202">
        <v>2</v>
      </c>
      <c r="C174" s="64" t="s">
        <v>784</v>
      </c>
    </row>
    <row r="175" spans="1:3" s="179" customFormat="1" x14ac:dyDescent="0.15">
      <c r="A175" s="872"/>
      <c r="B175" s="202">
        <v>3</v>
      </c>
      <c r="C175" s="64" t="s">
        <v>785</v>
      </c>
    </row>
    <row r="176" spans="1:3" s="179" customFormat="1" x14ac:dyDescent="0.15">
      <c r="A176" s="872"/>
      <c r="B176" s="202">
        <v>4</v>
      </c>
      <c r="C176" s="64" t="s">
        <v>786</v>
      </c>
    </row>
    <row r="177" spans="1:3" s="179" customFormat="1" x14ac:dyDescent="0.15">
      <c r="A177" s="872"/>
      <c r="B177" s="202">
        <v>5</v>
      </c>
      <c r="C177" s="64" t="s">
        <v>787</v>
      </c>
    </row>
    <row r="178" spans="1:3" s="179" customFormat="1" x14ac:dyDescent="0.15">
      <c r="A178" s="872"/>
      <c r="B178" s="202">
        <v>6</v>
      </c>
      <c r="C178" s="64" t="s">
        <v>788</v>
      </c>
    </row>
    <row r="179" spans="1:3" s="179" customFormat="1" x14ac:dyDescent="0.15">
      <c r="A179" s="872"/>
      <c r="B179" s="202">
        <v>7</v>
      </c>
      <c r="C179" s="64" t="s">
        <v>789</v>
      </c>
    </row>
    <row r="180" spans="1:3" x14ac:dyDescent="0.15">
      <c r="A180" s="872"/>
      <c r="B180" s="202">
        <v>8</v>
      </c>
      <c r="C180" s="64" t="s">
        <v>790</v>
      </c>
    </row>
    <row r="181" spans="1:3" x14ac:dyDescent="0.15">
      <c r="A181" s="872"/>
      <c r="B181" s="202">
        <v>9</v>
      </c>
      <c r="C181" s="64" t="s">
        <v>791</v>
      </c>
    </row>
    <row r="182" spans="1:3" x14ac:dyDescent="0.15">
      <c r="A182" s="872"/>
      <c r="B182" s="202">
        <v>10</v>
      </c>
      <c r="C182" s="64" t="s">
        <v>792</v>
      </c>
    </row>
    <row r="183" spans="1:3" x14ac:dyDescent="0.15">
      <c r="A183" s="872"/>
      <c r="B183" s="202">
        <v>11</v>
      </c>
      <c r="C183" s="64" t="s">
        <v>793</v>
      </c>
    </row>
    <row r="184" spans="1:3" x14ac:dyDescent="0.15">
      <c r="A184" s="873"/>
      <c r="B184" s="203">
        <v>12</v>
      </c>
      <c r="C184" s="65" t="s">
        <v>794</v>
      </c>
    </row>
  </sheetData>
  <mergeCells count="10">
    <mergeCell ref="A1:A8"/>
    <mergeCell ref="A10:A13"/>
    <mergeCell ref="A25:A27"/>
    <mergeCell ref="A15:A23"/>
    <mergeCell ref="A172:A184"/>
    <mergeCell ref="A72:A154"/>
    <mergeCell ref="A161:A170"/>
    <mergeCell ref="A38:A70"/>
    <mergeCell ref="A29:A36"/>
    <mergeCell ref="A156:A159"/>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171</vt:i4>
      </vt:variant>
    </vt:vector>
  </HeadingPairs>
  <TitlesOfParts>
    <vt:vector size="175" baseType="lpstr">
      <vt:lpstr>Inputs</vt:lpstr>
      <vt:lpstr>Proposal_Eng</vt:lpstr>
      <vt:lpstr>Proposal_Esp</vt:lpstr>
      <vt:lpstr>ContractData</vt:lpstr>
      <vt:lpstr>AddToFinalPymt_OM</vt:lpstr>
      <vt:lpstr>BlendedReqIRR</vt:lpstr>
      <vt:lpstr>CFE_CargoFijo</vt:lpstr>
      <vt:lpstr>CFE_Hilos</vt:lpstr>
      <vt:lpstr>CFE_Limite</vt:lpstr>
      <vt:lpstr>CFE_RateCategory</vt:lpstr>
      <vt:lpstr>CFE_RatePeriod</vt:lpstr>
      <vt:lpstr>CFE_RatePreTaxes</vt:lpstr>
      <vt:lpstr>CFE_RateWithDAP</vt:lpstr>
      <vt:lpstr>CFE_Region</vt:lpstr>
      <vt:lpstr>CFE_YrIncreasePct</vt:lpstr>
      <vt:lpstr>CorpTaxRate</vt:lpstr>
      <vt:lpstr>Cust_Address</vt:lpstr>
      <vt:lpstr>Cust_Bank</vt:lpstr>
      <vt:lpstr>Cust_BankAcct</vt:lpstr>
      <vt:lpstr>Cust_CC_Expiry</vt:lpstr>
      <vt:lpstr>Cust_CC_No</vt:lpstr>
      <vt:lpstr>Cust_CC_SecCode</vt:lpstr>
      <vt:lpstr>Cust_CC_Type</vt:lpstr>
      <vt:lpstr>Cust_CfeServNum</vt:lpstr>
      <vt:lpstr>Cust_City</vt:lpstr>
      <vt:lpstr>Cust_Co_DeedDated</vt:lpstr>
      <vt:lpstr>Cust_Co_DeedNo</vt:lpstr>
      <vt:lpstr>Cust_Co_DeedNotaryFolioNo</vt:lpstr>
      <vt:lpstr>Cust_Co_DeedNotaryLoc</vt:lpstr>
      <vt:lpstr>Cust_Co_DeedNotaryName</vt:lpstr>
      <vt:lpstr>Cust_Co_DeedNotaryNo</vt:lpstr>
      <vt:lpstr>Cust_Co_DeedNotaryRegLoc</vt:lpstr>
      <vt:lpstr>Cust_Co_Rep</vt:lpstr>
      <vt:lpstr>Cust_Co_Rep_DeedDated</vt:lpstr>
      <vt:lpstr>Cust_Co_Rep_DeedNo</vt:lpstr>
      <vt:lpstr>Cust_Co_Rep_DeedNotaryFolioNo</vt:lpstr>
      <vt:lpstr>Cust_Co_Rep_DeedNotaryLoc</vt:lpstr>
      <vt:lpstr>Cust_Co_Rep_DeedNotaryName</vt:lpstr>
      <vt:lpstr>Cust_Co_Rep_DeedNotaryNo</vt:lpstr>
      <vt:lpstr>Cust_Co_Rep_DeedNotaryRegLoc</vt:lpstr>
      <vt:lpstr>Cust_Colonia</vt:lpstr>
      <vt:lpstr>Cust_Company</vt:lpstr>
      <vt:lpstr>Cust_Email</vt:lpstr>
      <vt:lpstr>Cust_FirstName</vt:lpstr>
      <vt:lpstr>Cust_Ind_ID</vt:lpstr>
      <vt:lpstr>Cust_Ind_Natl</vt:lpstr>
      <vt:lpstr>Cust_InitialPymt</vt:lpstr>
      <vt:lpstr>Cust_LastName</vt:lpstr>
      <vt:lpstr>Cust_LastName2</vt:lpstr>
      <vt:lpstr>Cust_LeaseTermYears</vt:lpstr>
      <vt:lpstr>Cust_NominalPymtAtTermEnd</vt:lpstr>
      <vt:lpstr>Cust_SavingsRate</vt:lpstr>
      <vt:lpstr>Cust_SavingsRateMin_DAC</vt:lpstr>
      <vt:lpstr>Cust_SavingsRateMin_Tarifa2</vt:lpstr>
      <vt:lpstr>Cust_State</vt:lpstr>
      <vt:lpstr>Cust_Telephone</vt:lpstr>
      <vt:lpstr>Cust_TotalPymtAtTermEnd</vt:lpstr>
      <vt:lpstr>Cust_Zip</vt:lpstr>
      <vt:lpstr>CustUsage_kWhPerYear</vt:lpstr>
      <vt:lpstr>CustUsage_LimitBasicoNonSummer</vt:lpstr>
      <vt:lpstr>CustUsage_LimitBasicoSummer</vt:lpstr>
      <vt:lpstr>CustUsage_LimitIntermedioNonSummer</vt:lpstr>
      <vt:lpstr>CustUsage_LimitIntermedioSummer</vt:lpstr>
      <vt:lpstr>DAP</vt:lpstr>
      <vt:lpstr>DebtInv_Pct</vt:lpstr>
      <vt:lpstr>DebtInv_PctCashFlow</vt:lpstr>
      <vt:lpstr>DebtInv_ReqIRR</vt:lpstr>
      <vt:lpstr>EqInv_Equity</vt:lpstr>
      <vt:lpstr>EqInv_Pct</vt:lpstr>
      <vt:lpstr>EqInv_PctCashFlow</vt:lpstr>
      <vt:lpstr>EqInv_ReqIRR</vt:lpstr>
      <vt:lpstr>EquipReplaceReservePerW_MXN</vt:lpstr>
      <vt:lpstr>EquipReplaceReservePerW_USD</vt:lpstr>
      <vt:lpstr>FinYrIncr</vt:lpstr>
      <vt:lpstr>InclUpfront_EGauge</vt:lpstr>
      <vt:lpstr>InclUpfront_OM</vt:lpstr>
      <vt:lpstr>InflationRate</vt:lpstr>
      <vt:lpstr>InsuranceOnPVPanels</vt:lpstr>
      <vt:lpstr>InverterDiscountRate</vt:lpstr>
      <vt:lpstr>InverterLossPct</vt:lpstr>
      <vt:lpstr>InverterReplaceCostwIVA</vt:lpstr>
      <vt:lpstr>InverterReplaceYr</vt:lpstr>
      <vt:lpstr>IVA</vt:lpstr>
      <vt:lpstr>JO</vt:lpstr>
      <vt:lpstr>JO_Co_DeedDated</vt:lpstr>
      <vt:lpstr>JO_Co_DeedNo</vt:lpstr>
      <vt:lpstr>JO_Co_DeedNotaryFolioNo</vt:lpstr>
      <vt:lpstr>JO_Co_DeedNotaryLoc</vt:lpstr>
      <vt:lpstr>JO_Co_DeedNotaryName</vt:lpstr>
      <vt:lpstr>JO_Co_DeedNotaryNo</vt:lpstr>
      <vt:lpstr>JO_Co_DeedNotaryRegLoc</vt:lpstr>
      <vt:lpstr>JO_Co_Rep</vt:lpstr>
      <vt:lpstr>JO_Co_Rep_DeedDated</vt:lpstr>
      <vt:lpstr>JO_Co_Rep_DeedNo</vt:lpstr>
      <vt:lpstr>JO_Co_Rep_DeedNotaryLoc</vt:lpstr>
      <vt:lpstr>JO_Co_Rep_DeedNotaryName</vt:lpstr>
      <vt:lpstr>JO_Co_Rep_DeedNotaryNo</vt:lpstr>
      <vt:lpstr>JO_Email</vt:lpstr>
      <vt:lpstr>JO_Ind_ID</vt:lpstr>
      <vt:lpstr>JO_Ind_Natl</vt:lpstr>
      <vt:lpstr>MXNperUSD</vt:lpstr>
      <vt:lpstr>MySOL_Equity</vt:lpstr>
      <vt:lpstr>MySOL_MarkupTotal_Max</vt:lpstr>
      <vt:lpstr>MySOL_MarkupTotal_Min</vt:lpstr>
      <vt:lpstr>MySOL_Pct</vt:lpstr>
      <vt:lpstr>MySOL_PctCashFlow</vt:lpstr>
      <vt:lpstr>MySol_TotalRate</vt:lpstr>
      <vt:lpstr>OpExpenseAsPctOfCost</vt:lpstr>
      <vt:lpstr>OpExpensePerKwMXN</vt:lpstr>
      <vt:lpstr>OpExpensePerKwUSD</vt:lpstr>
      <vt:lpstr>Panel_PTC</vt:lpstr>
      <vt:lpstr>Panel_STC</vt:lpstr>
      <vt:lpstr>priceEGaugeUSD</vt:lpstr>
      <vt:lpstr>Proposal_Eng!Print_Area</vt:lpstr>
      <vt:lpstr>Proposal_Esp!Print_Area</vt:lpstr>
      <vt:lpstr>PVPanelDefault</vt:lpstr>
      <vt:lpstr>Rng_InverterLookupByPhase</vt:lpstr>
      <vt:lpstr>Rng_Inverters</vt:lpstr>
      <vt:lpstr>Rng_IrradianceCols</vt:lpstr>
      <vt:lpstr>Rng_IrradianceData</vt:lpstr>
      <vt:lpstr>Rng_IrradianceKeys</vt:lpstr>
      <vt:lpstr>Rng_LeaseTerms</vt:lpstr>
      <vt:lpstr>Rng_MonthlyUsage</vt:lpstr>
      <vt:lpstr>Rng_Optimizers</vt:lpstr>
      <vt:lpstr>Rng_PVPanels</vt:lpstr>
      <vt:lpstr>Rng_SavingsRates</vt:lpstr>
      <vt:lpstr>Rng_ScenarioData</vt:lpstr>
      <vt:lpstr>Rng_SysMon</vt:lpstr>
      <vt:lpstr>Rng_SysMon_NonMicro</vt:lpstr>
      <vt:lpstr>SavingsRate_Incr</vt:lpstr>
      <vt:lpstr>SavingsRate_Max</vt:lpstr>
      <vt:lpstr>SavingsRate_Min</vt:lpstr>
      <vt:lpstr>Scenario_InitialPymt</vt:lpstr>
      <vt:lpstr>Scenario_InitialPymt_Label</vt:lpstr>
      <vt:lpstr>Scenario_Variable</vt:lpstr>
      <vt:lpstr>Scenario_Variable_Label</vt:lpstr>
      <vt:lpstr>Shipping_MXNperW</vt:lpstr>
      <vt:lpstr>SolarSvcProvider</vt:lpstr>
      <vt:lpstr>StdDefaultRate</vt:lpstr>
      <vt:lpstr>Sys_Azimuth</vt:lpstr>
      <vt:lpstr>Sys_CostOfBOSElectricalMXN</vt:lpstr>
      <vt:lpstr>Sys_CostOfBOSMechanicalMXN</vt:lpstr>
      <vt:lpstr>Sys_CostOfComponentsMXN</vt:lpstr>
      <vt:lpstr>Sys_CostOfLaborMXN</vt:lpstr>
      <vt:lpstr>Sys_Factor</vt:lpstr>
      <vt:lpstr>Sys_FundPricePerWatt</vt:lpstr>
      <vt:lpstr>Sys_FundPriceTotal</vt:lpstr>
      <vt:lpstr>Sys_InverterCostMXN_PreIVA</vt:lpstr>
      <vt:lpstr>Sys_InverterCostUSD_PreIVA</vt:lpstr>
      <vt:lpstr>Sys_kWhPerYear</vt:lpstr>
      <vt:lpstr>Sys_MySolMarkupEffective</vt:lpstr>
      <vt:lpstr>Sys_NumPanels</vt:lpstr>
      <vt:lpstr>Sys_OtherLossPct</vt:lpstr>
      <vt:lpstr>Sys_PreIvaCostFromInstallerMXN</vt:lpstr>
      <vt:lpstr>Sys_SizeWatts</vt:lpstr>
      <vt:lpstr>Sys_SPPMarkupEffective</vt:lpstr>
      <vt:lpstr>Sys_SunHours</vt:lpstr>
      <vt:lpstr>Sys_SunHoursAvailableTilts</vt:lpstr>
      <vt:lpstr>Sys_SunHoursCity</vt:lpstr>
      <vt:lpstr>Sys_Tilt</vt:lpstr>
      <vt:lpstr>Sys_TotalCostFromInstallerMXN</vt:lpstr>
      <vt:lpstr>Sys_YrDegradationRate</vt:lpstr>
      <vt:lpstr>SysMonDefault_NonMicro</vt:lpstr>
      <vt:lpstr>SysSpec_CommAcc_Units</vt:lpstr>
      <vt:lpstr>SysSpec_Inverter</vt:lpstr>
      <vt:lpstr>SysSpec_Inverters_Units</vt:lpstr>
      <vt:lpstr>SysSpec_Optimizer</vt:lpstr>
      <vt:lpstr>SysSpec_Optimizers_Units</vt:lpstr>
      <vt:lpstr>SysSpec_PV</vt:lpstr>
      <vt:lpstr>SysSpec_PV_Units</vt:lpstr>
      <vt:lpstr>SysSpec_SysMon_Units</vt:lpstr>
      <vt:lpstr>SysSpec_SysMonitor</vt:lpstr>
      <vt:lpstr>Table_DataStart</vt:lpstr>
      <vt:lpstr>Table_XAxisStart</vt:lpstr>
      <vt:lpstr>Table_YAxisStart</vt:lpstr>
    </vt:vector>
  </TitlesOfParts>
  <Company>Director General Mexenova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Vazquez</dc:creator>
  <cp:lastModifiedBy>Ben Rogers</cp:lastModifiedBy>
  <cp:lastPrinted>2017-09-07T20:27:28Z</cp:lastPrinted>
  <dcterms:created xsi:type="dcterms:W3CDTF">2017-04-20T00:13:46Z</dcterms:created>
  <dcterms:modified xsi:type="dcterms:W3CDTF">2017-09-11T19:59:38Z</dcterms:modified>
</cp:coreProperties>
</file>