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ton\Documents\School work (2015-Current)\Haselton Lab\SARS-CoV-2 Mutation Detection\2022 Feb - VOCs\Panther Data Reports\"/>
    </mc:Choice>
  </mc:AlternateContent>
  <xr:revisionPtr revIDLastSave="0" documentId="13_ncr:1_{1ADF83D6-1200-4EA3-B39B-D197C3BED0B8}" xr6:coauthVersionLast="47" xr6:coauthVersionMax="47" xr10:uidLastSave="{00000000-0000-0000-0000-000000000000}"/>
  <bookViews>
    <workbookView xWindow="-108" yWindow="-108" windowWidth="23256" windowHeight="12576" xr2:uid="{8B55DFA8-DAFE-4E24-BABC-5B4AC15D76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71" i="1" l="1"/>
  <c r="R72" i="1"/>
  <c r="R73" i="1"/>
  <c r="R74" i="1"/>
  <c r="R70" i="1"/>
  <c r="R67" i="1"/>
  <c r="Q67" i="1"/>
  <c r="D130" i="1"/>
  <c r="F129" i="1"/>
  <c r="G129" i="1"/>
  <c r="F127" i="1"/>
  <c r="H127" i="1" s="1"/>
  <c r="G117" i="1"/>
  <c r="F117" i="1"/>
  <c r="D121" i="1" s="1"/>
  <c r="F115" i="1"/>
  <c r="H115" i="1" s="1"/>
  <c r="G100" i="1"/>
  <c r="F100" i="1"/>
  <c r="D103" i="1" s="1"/>
  <c r="F98" i="1"/>
  <c r="H98" i="1" s="1"/>
  <c r="G89" i="1"/>
  <c r="F89" i="1"/>
  <c r="M50" i="1" s="1"/>
  <c r="F87" i="1"/>
  <c r="H87" i="1" s="1"/>
  <c r="G73" i="1"/>
  <c r="F73" i="1"/>
  <c r="M33" i="1" s="1"/>
  <c r="F71" i="1"/>
  <c r="H71" i="1" s="1"/>
  <c r="F58" i="1"/>
  <c r="H58" i="1" s="1"/>
  <c r="D120" i="1" l="1"/>
  <c r="D90" i="1"/>
  <c r="D119" i="1"/>
  <c r="D77" i="1"/>
  <c r="D93" i="1"/>
  <c r="D108" i="1"/>
  <c r="M18" i="1"/>
  <c r="D110" i="1"/>
  <c r="M19" i="1"/>
  <c r="D79" i="1"/>
  <c r="D78" i="1"/>
  <c r="D91" i="1"/>
  <c r="D109" i="1"/>
  <c r="D76" i="1"/>
  <c r="D92" i="1"/>
  <c r="D107" i="1"/>
  <c r="D74" i="1"/>
  <c r="D75" i="1"/>
  <c r="D106" i="1"/>
  <c r="M20" i="1"/>
  <c r="D105" i="1"/>
  <c r="D118" i="1"/>
  <c r="M21" i="1"/>
  <c r="D102" i="1"/>
  <c r="D104" i="1"/>
  <c r="D122" i="1"/>
  <c r="M22" i="1"/>
  <c r="D82" i="1"/>
  <c r="D81" i="1"/>
  <c r="D80" i="1"/>
  <c r="D101" i="1"/>
  <c r="F5" i="1" l="1"/>
  <c r="H5" i="1" s="1"/>
  <c r="D56" i="1" l="1"/>
  <c r="D5" i="1"/>
  <c r="D57" i="1" l="1"/>
  <c r="D58" i="1" s="1"/>
  <c r="D59" i="1" s="1"/>
  <c r="D60" i="1" s="1"/>
  <c r="D6" i="1"/>
  <c r="D7" i="1" s="1"/>
  <c r="D8" i="1" s="1"/>
  <c r="D9" i="1" s="1"/>
  <c r="F7" i="1"/>
  <c r="G7" i="1"/>
  <c r="F60" i="1" l="1"/>
  <c r="D18" i="1"/>
  <c r="D26" i="1"/>
  <c r="D34" i="1"/>
  <c r="D42" i="1"/>
  <c r="D50" i="1"/>
  <c r="D11" i="1"/>
  <c r="D19" i="1"/>
  <c r="D27" i="1"/>
  <c r="D35" i="1"/>
  <c r="D43" i="1"/>
  <c r="D51" i="1"/>
  <c r="D12" i="1"/>
  <c r="D20" i="1"/>
  <c r="D28" i="1"/>
  <c r="D36" i="1"/>
  <c r="D44" i="1"/>
  <c r="D52" i="1"/>
  <c r="D15" i="1"/>
  <c r="D23" i="1"/>
  <c r="D31" i="1"/>
  <c r="D39" i="1"/>
  <c r="D47" i="1"/>
  <c r="D24" i="1"/>
  <c r="D40" i="1"/>
  <c r="D17" i="1"/>
  <c r="D48" i="1"/>
  <c r="D33" i="1"/>
  <c r="D49" i="1"/>
  <c r="D13" i="1"/>
  <c r="D21" i="1"/>
  <c r="D29" i="1"/>
  <c r="D37" i="1"/>
  <c r="D45" i="1"/>
  <c r="D53" i="1"/>
  <c r="D14" i="1"/>
  <c r="D22" i="1"/>
  <c r="D30" i="1"/>
  <c r="D38" i="1"/>
  <c r="D46" i="1"/>
  <c r="D10" i="1"/>
  <c r="D16" i="1"/>
  <c r="D32" i="1"/>
  <c r="D25" i="1"/>
  <c r="D41" i="1"/>
  <c r="G60" i="1"/>
  <c r="D62" i="1" s="1"/>
  <c r="D65" i="1" l="1"/>
  <c r="D61" i="1"/>
  <c r="D66" i="1"/>
  <c r="D64" i="1"/>
  <c r="D63" i="1"/>
</calcChain>
</file>

<file path=xl/sharedStrings.xml><?xml version="1.0" encoding="utf-8"?>
<sst xmlns="http://schemas.openxmlformats.org/spreadsheetml/2006/main" count="305" uniqueCount="146">
  <si>
    <t>Panther Results Compiled</t>
  </si>
  <si>
    <t>From Results file 093524</t>
  </si>
  <si>
    <t>Cal-1</t>
  </si>
  <si>
    <t>Cal-2</t>
  </si>
  <si>
    <t>Cal-3</t>
  </si>
  <si>
    <t>Cal-4</t>
  </si>
  <si>
    <t>Cal-5</t>
  </si>
  <si>
    <t>Sample</t>
  </si>
  <si>
    <t>Cq</t>
  </si>
  <si>
    <t>Viral Load</t>
  </si>
  <si>
    <t>DN1</t>
  </si>
  <si>
    <t>DN2</t>
  </si>
  <si>
    <t>DN3</t>
  </si>
  <si>
    <t>DN4</t>
  </si>
  <si>
    <t>DN5</t>
  </si>
  <si>
    <t>DN6</t>
  </si>
  <si>
    <t>DN7</t>
  </si>
  <si>
    <t>DN8</t>
  </si>
  <si>
    <t>DN9</t>
  </si>
  <si>
    <t>DN10</t>
  </si>
  <si>
    <t>DN11</t>
  </si>
  <si>
    <t>DN12</t>
  </si>
  <si>
    <t>DN13</t>
  </si>
  <si>
    <t>DN14</t>
  </si>
  <si>
    <t>DN15</t>
  </si>
  <si>
    <t>DN16</t>
  </si>
  <si>
    <t>DN17</t>
  </si>
  <si>
    <t>DN18</t>
  </si>
  <si>
    <t>DN56</t>
  </si>
  <si>
    <t>DN57</t>
  </si>
  <si>
    <t>DN58</t>
  </si>
  <si>
    <t>DN59</t>
  </si>
  <si>
    <t>DN64</t>
  </si>
  <si>
    <t>DN65</t>
  </si>
  <si>
    <t>DN66</t>
  </si>
  <si>
    <t>DN67</t>
  </si>
  <si>
    <t>DN68</t>
  </si>
  <si>
    <t>DN69</t>
  </si>
  <si>
    <t>DN70</t>
  </si>
  <si>
    <t>DN71</t>
  </si>
  <si>
    <t>DN72</t>
  </si>
  <si>
    <t>DN73</t>
  </si>
  <si>
    <t>DN74</t>
  </si>
  <si>
    <t>DN75</t>
  </si>
  <si>
    <t>DN76</t>
  </si>
  <si>
    <t>DN77</t>
  </si>
  <si>
    <t>DN78</t>
  </si>
  <si>
    <t>DN79</t>
  </si>
  <si>
    <t>DN80</t>
  </si>
  <si>
    <t>DN81</t>
  </si>
  <si>
    <t>DN82</t>
  </si>
  <si>
    <t>DN83</t>
  </si>
  <si>
    <t>DN84</t>
  </si>
  <si>
    <t>DN85</t>
  </si>
  <si>
    <t>NEG</t>
  </si>
  <si>
    <t>Calibrator Calculations</t>
  </si>
  <si>
    <t>Original Cal</t>
  </si>
  <si>
    <t>Added Vol</t>
  </si>
  <si>
    <t>Final Cal</t>
  </si>
  <si>
    <t>SLOPE</t>
  </si>
  <si>
    <t>INTERCEPT</t>
  </si>
  <si>
    <t>From Results file 112544</t>
  </si>
  <si>
    <t>DN24</t>
  </si>
  <si>
    <t>DN25</t>
  </si>
  <si>
    <t>DN26</t>
  </si>
  <si>
    <t>DN27</t>
  </si>
  <si>
    <t>DN28</t>
  </si>
  <si>
    <t>DN39</t>
  </si>
  <si>
    <t>From Results file 0112544</t>
  </si>
  <si>
    <t>From Results file 020017</t>
  </si>
  <si>
    <t>DN14 (SD3001)</t>
  </si>
  <si>
    <t>DN15 (SD3002)</t>
  </si>
  <si>
    <t>DN16 (SD3005)</t>
  </si>
  <si>
    <t>DN17 (SD3006)</t>
  </si>
  <si>
    <t>DN18 (SD3007)</t>
  </si>
  <si>
    <t>DN30</t>
  </si>
  <si>
    <t>DN30 (SD3009)</t>
  </si>
  <si>
    <t>DN31 (SD3010)</t>
  </si>
  <si>
    <t>DN32 (SD3011)</t>
  </si>
  <si>
    <t>DN33 (SD3015)</t>
  </si>
  <si>
    <t>DN1 (DNO_1)</t>
  </si>
  <si>
    <t>DN2 (DNO_2)</t>
  </si>
  <si>
    <t>DN3 (DNO_3)</t>
  </si>
  <si>
    <t>DN4 (DNO_4)</t>
  </si>
  <si>
    <t>DN5 (DNO_5)</t>
  </si>
  <si>
    <t>DN6 (DNO_6)</t>
  </si>
  <si>
    <t>DN7 (DNO_7)</t>
  </si>
  <si>
    <t>DN8 (DNO_8)</t>
  </si>
  <si>
    <t>DN19 (DNO_9)</t>
  </si>
  <si>
    <t>DN20 (DNO_10)</t>
  </si>
  <si>
    <t>DN21 (DNO_11)</t>
  </si>
  <si>
    <t>DN22 (DNO_12)</t>
  </si>
  <si>
    <t>DN23 (DNO_13)</t>
  </si>
  <si>
    <t>DN34 (DNO_14)</t>
  </si>
  <si>
    <t>DN35 (DNO_15)</t>
  </si>
  <si>
    <t>DN36 (DNO_16)</t>
  </si>
  <si>
    <t>DN37 (DNO_17)</t>
  </si>
  <si>
    <t>DN38 (DNO_18)</t>
  </si>
  <si>
    <t>From Results file 015815</t>
  </si>
  <si>
    <t>DN43 (SD2364)</t>
  </si>
  <si>
    <t>DN46(SD2356)</t>
  </si>
  <si>
    <t>DN60 (SD2361)</t>
  </si>
  <si>
    <t>DN61 (SD2358)</t>
  </si>
  <si>
    <t>From Results file 123753</t>
  </si>
  <si>
    <t>DN42</t>
  </si>
  <si>
    <t>DN47</t>
  </si>
  <si>
    <t>DN48</t>
  </si>
  <si>
    <t>DN49</t>
  </si>
  <si>
    <t>DN50</t>
  </si>
  <si>
    <t>DN51</t>
  </si>
  <si>
    <t>DN52</t>
  </si>
  <si>
    <t>DN53</t>
  </si>
  <si>
    <t>DN54</t>
  </si>
  <si>
    <t>DN55</t>
  </si>
  <si>
    <t>From Results file 104013</t>
  </si>
  <si>
    <t>Cumulative and Ordered</t>
  </si>
  <si>
    <t>DN19</t>
  </si>
  <si>
    <t>DN20</t>
  </si>
  <si>
    <t>DN21</t>
  </si>
  <si>
    <t>DN22</t>
  </si>
  <si>
    <t>DN23</t>
  </si>
  <si>
    <t>DN29</t>
  </si>
  <si>
    <t>DN31</t>
  </si>
  <si>
    <t>DN32</t>
  </si>
  <si>
    <t>DN33</t>
  </si>
  <si>
    <t>DN34</t>
  </si>
  <si>
    <t>DN35</t>
  </si>
  <si>
    <t>DN36</t>
  </si>
  <si>
    <t>DN37</t>
  </si>
  <si>
    <t>DN38</t>
  </si>
  <si>
    <t>DN40</t>
  </si>
  <si>
    <t>DN41</t>
  </si>
  <si>
    <t>DN43</t>
  </si>
  <si>
    <t>DN44</t>
  </si>
  <si>
    <t>DN45</t>
  </si>
  <si>
    <t>DN46</t>
  </si>
  <si>
    <t>DN60</t>
  </si>
  <si>
    <t>DN61</t>
  </si>
  <si>
    <t>DN62</t>
  </si>
  <si>
    <t>DN63</t>
  </si>
  <si>
    <t>N/A</t>
  </si>
  <si>
    <t>###</t>
  </si>
  <si>
    <t>From Results file 015920</t>
  </si>
  <si>
    <t>DN62 (SD2137)</t>
  </si>
  <si>
    <t>average slope</t>
  </si>
  <si>
    <t>average 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</si>
</sst>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color rgb="FF0070C0"/>
      <name val="Arial"/>
      <family val="2"/>
    </font>
    <font>
      <b/>
      <sz val="10"/>
      <color theme="9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2" fontId="1" fillId="0" borderId="17" xfId="0" applyNumberFormat="1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2" fontId="1" fillId="0" borderId="16" xfId="0" applyNumberFormat="1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2" fontId="1" fillId="0" borderId="17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2" fontId="1" fillId="0" borderId="12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F2DA6-1A19-41E9-85B9-6B7EA4D9D79D}">
  <dimension ref="B1:R130"/>
  <sheetViews>
    <sheetView tabSelected="1" topLeftCell="A49" workbookViewId="0">
      <selection activeCell="O66" sqref="O66"/>
    </sheetView>
  </sheetViews>
  <sheetFormatPr defaultRowHeight="13.2" x14ac:dyDescent="0.25"/>
  <cols>
    <col min="1" max="1" width="8.88671875" style="1"/>
    <col min="2" max="2" width="16.109375" style="1" bestFit="1" customWidth="1"/>
    <col min="3" max="3" width="9" style="1" bestFit="1" customWidth="1"/>
    <col min="4" max="4" width="9.5546875" style="1" bestFit="1" customWidth="1"/>
    <col min="5" max="5" width="8.88671875" style="1"/>
    <col min="6" max="6" width="11" style="1" bestFit="1" customWidth="1"/>
    <col min="7" max="7" width="10.109375" style="1" bestFit="1" customWidth="1"/>
    <col min="8" max="8" width="12.109375" style="1" bestFit="1" customWidth="1"/>
    <col min="9" max="10" width="8.88671875" style="1"/>
    <col min="11" max="11" width="13.6640625" style="1" bestFit="1" customWidth="1"/>
    <col min="12" max="12" width="9.88671875" style="1" customWidth="1"/>
    <col min="13" max="13" width="12.109375" style="1" bestFit="1" customWidth="1"/>
    <col min="14" max="16" width="8.88671875" style="1"/>
    <col min="17" max="17" width="12.109375" style="1" customWidth="1"/>
    <col min="18" max="18" width="16" style="1" customWidth="1"/>
    <col min="19" max="16384" width="8.88671875" style="1"/>
  </cols>
  <sheetData>
    <row r="1" spans="2:13" ht="13.8" thickBot="1" x14ac:dyDescent="0.3"/>
    <row r="2" spans="2:13" ht="13.8" thickBot="1" x14ac:dyDescent="0.3">
      <c r="B2" s="42" t="s">
        <v>0</v>
      </c>
      <c r="C2" s="43"/>
      <c r="D2" s="44"/>
      <c r="F2" s="42" t="s">
        <v>55</v>
      </c>
      <c r="G2" s="43"/>
      <c r="H2" s="44"/>
      <c r="K2" s="42" t="s">
        <v>0</v>
      </c>
      <c r="L2" s="43"/>
      <c r="M2" s="44"/>
    </row>
    <row r="3" spans="2:13" ht="13.8" thickBot="1" x14ac:dyDescent="0.3">
      <c r="B3" s="42" t="s">
        <v>1</v>
      </c>
      <c r="C3" s="43"/>
      <c r="D3" s="44"/>
      <c r="F3" s="45" t="s">
        <v>1</v>
      </c>
      <c r="G3" s="46"/>
      <c r="H3" s="47"/>
      <c r="K3" s="42" t="s">
        <v>115</v>
      </c>
      <c r="L3" s="43"/>
      <c r="M3" s="44"/>
    </row>
    <row r="4" spans="2:13" ht="13.8" thickBot="1" x14ac:dyDescent="0.3">
      <c r="B4" s="2" t="s">
        <v>7</v>
      </c>
      <c r="C4" s="3" t="s">
        <v>8</v>
      </c>
      <c r="D4" s="4" t="s">
        <v>9</v>
      </c>
      <c r="F4" s="5" t="s">
        <v>56</v>
      </c>
      <c r="G4" s="6" t="s">
        <v>57</v>
      </c>
      <c r="H4" s="7" t="s">
        <v>58</v>
      </c>
      <c r="K4" s="28" t="s">
        <v>7</v>
      </c>
      <c r="L4" s="29" t="s">
        <v>8</v>
      </c>
      <c r="M4" s="30" t="s">
        <v>9</v>
      </c>
    </row>
    <row r="5" spans="2:13" x14ac:dyDescent="0.25">
      <c r="B5" s="8" t="s">
        <v>2</v>
      </c>
      <c r="C5" s="9">
        <v>18</v>
      </c>
      <c r="D5" s="10">
        <f>LOG10(H5)</f>
        <v>7.357332496431269</v>
      </c>
      <c r="F5" s="11">
        <f>10^8.5</f>
        <v>316227766.01683807</v>
      </c>
      <c r="G5" s="12">
        <v>225</v>
      </c>
      <c r="H5" s="13">
        <f>(F5*G5)/(2900+G5)</f>
        <v>22768399.153212342</v>
      </c>
      <c r="K5" s="33" t="s">
        <v>10</v>
      </c>
      <c r="L5" s="34">
        <v>19.600000000000001</v>
      </c>
      <c r="M5" s="35">
        <v>6.8601648497942396</v>
      </c>
    </row>
    <row r="6" spans="2:13" x14ac:dyDescent="0.25">
      <c r="B6" s="14" t="s">
        <v>3</v>
      </c>
      <c r="C6" s="15">
        <v>21.2</v>
      </c>
      <c r="D6" s="16">
        <f>D5-1</f>
        <v>6.357332496431269</v>
      </c>
      <c r="F6" s="17" t="s">
        <v>59</v>
      </c>
      <c r="G6" s="18" t="s">
        <v>60</v>
      </c>
      <c r="H6" s="13"/>
      <c r="K6" s="11" t="s">
        <v>11</v>
      </c>
      <c r="L6" s="12">
        <v>19.7</v>
      </c>
      <c r="M6" s="36">
        <v>6.8302279503248586</v>
      </c>
    </row>
    <row r="7" spans="2:13" ht="13.8" thickBot="1" x14ac:dyDescent="0.3">
      <c r="B7" s="14" t="s">
        <v>4</v>
      </c>
      <c r="C7" s="15">
        <v>24.6</v>
      </c>
      <c r="D7" s="16">
        <f t="shared" ref="D7:D9" si="0">D6-1</f>
        <v>5.357332496431269</v>
      </c>
      <c r="F7" s="19">
        <f>LINEST(D5:D9,C5:C9, TRUE)</f>
        <v>-0.29936899469381906</v>
      </c>
      <c r="G7" s="20">
        <f>INTERCEPT(D5:D9,C5:C9)</f>
        <v>12.727797145793094</v>
      </c>
      <c r="H7" s="21"/>
      <c r="K7" s="11" t="s">
        <v>12</v>
      </c>
      <c r="L7" s="12">
        <v>21.9</v>
      </c>
      <c r="M7" s="36">
        <v>6.1716161619984566</v>
      </c>
    </row>
    <row r="8" spans="2:13" x14ac:dyDescent="0.25">
      <c r="B8" s="14" t="s">
        <v>5</v>
      </c>
      <c r="C8" s="15">
        <v>28</v>
      </c>
      <c r="D8" s="16">
        <f t="shared" si="0"/>
        <v>4.357332496431269</v>
      </c>
      <c r="K8" s="11" t="s">
        <v>13</v>
      </c>
      <c r="L8" s="12">
        <v>16.8</v>
      </c>
      <c r="M8" s="36">
        <v>7.6983980349369334</v>
      </c>
    </row>
    <row r="9" spans="2:13" x14ac:dyDescent="0.25">
      <c r="B9" s="14" t="s">
        <v>6</v>
      </c>
      <c r="C9" s="15">
        <v>31.3</v>
      </c>
      <c r="D9" s="16">
        <f t="shared" si="0"/>
        <v>3.357332496431269</v>
      </c>
      <c r="K9" s="11" t="s">
        <v>14</v>
      </c>
      <c r="L9" s="12">
        <v>17.3</v>
      </c>
      <c r="M9" s="36">
        <v>7.5487135375900243</v>
      </c>
    </row>
    <row r="10" spans="2:13" x14ac:dyDescent="0.25">
      <c r="B10" s="14" t="s">
        <v>80</v>
      </c>
      <c r="C10" s="15">
        <v>19.600000000000001</v>
      </c>
      <c r="D10" s="16">
        <f>($F$7*C10) + $G$7</f>
        <v>6.8601648497942396</v>
      </c>
      <c r="K10" s="11" t="s">
        <v>15</v>
      </c>
      <c r="L10" s="12">
        <v>19</v>
      </c>
      <c r="M10" s="36">
        <v>7.0397862466105314</v>
      </c>
    </row>
    <row r="11" spans="2:13" x14ac:dyDescent="0.25">
      <c r="B11" s="14" t="s">
        <v>81</v>
      </c>
      <c r="C11" s="15">
        <v>19.7</v>
      </c>
      <c r="D11" s="16">
        <f t="shared" ref="D11:D53" si="1">($F$7*C11) + $G$7</f>
        <v>6.8302279503248586</v>
      </c>
      <c r="K11" s="11" t="s">
        <v>16</v>
      </c>
      <c r="L11" s="12">
        <v>24.8</v>
      </c>
      <c r="M11" s="36">
        <v>5.303446077386381</v>
      </c>
    </row>
    <row r="12" spans="2:13" x14ac:dyDescent="0.25">
      <c r="B12" s="14" t="s">
        <v>82</v>
      </c>
      <c r="C12" s="15">
        <v>21.9</v>
      </c>
      <c r="D12" s="16">
        <f t="shared" si="1"/>
        <v>6.1716161619984566</v>
      </c>
      <c r="K12" s="11" t="s">
        <v>17</v>
      </c>
      <c r="L12" s="12">
        <v>21.3</v>
      </c>
      <c r="M12" s="36">
        <v>6.3512375588147476</v>
      </c>
    </row>
    <row r="13" spans="2:13" x14ac:dyDescent="0.25">
      <c r="B13" s="14" t="s">
        <v>83</v>
      </c>
      <c r="C13" s="15">
        <v>16.8</v>
      </c>
      <c r="D13" s="16">
        <f t="shared" si="1"/>
        <v>7.6983980349369334</v>
      </c>
      <c r="K13" s="11" t="s">
        <v>18</v>
      </c>
      <c r="L13" s="12">
        <v>21.2</v>
      </c>
      <c r="M13" s="36">
        <v>6.3533416092991768</v>
      </c>
    </row>
    <row r="14" spans="2:13" x14ac:dyDescent="0.25">
      <c r="B14" s="14" t="s">
        <v>84</v>
      </c>
      <c r="C14" s="15">
        <v>17.3</v>
      </c>
      <c r="D14" s="16">
        <f t="shared" si="1"/>
        <v>7.5487135375900243</v>
      </c>
      <c r="K14" s="11" t="s">
        <v>19</v>
      </c>
      <c r="L14" s="12">
        <v>31.1</v>
      </c>
      <c r="M14" s="36">
        <v>3.3181311364405826</v>
      </c>
    </row>
    <row r="15" spans="2:13" x14ac:dyDescent="0.25">
      <c r="B15" s="14" t="s">
        <v>85</v>
      </c>
      <c r="C15" s="15">
        <v>19</v>
      </c>
      <c r="D15" s="16">
        <f t="shared" si="1"/>
        <v>7.0397862466105314</v>
      </c>
      <c r="K15" s="11" t="s">
        <v>20</v>
      </c>
      <c r="L15" s="12">
        <v>19.8</v>
      </c>
      <c r="M15" s="36">
        <v>6.7825632923296846</v>
      </c>
    </row>
    <row r="16" spans="2:13" x14ac:dyDescent="0.25">
      <c r="B16" s="14" t="s">
        <v>86</v>
      </c>
      <c r="C16" s="15">
        <v>24.8</v>
      </c>
      <c r="D16" s="16">
        <f t="shared" si="1"/>
        <v>5.303446077386381</v>
      </c>
      <c r="K16" s="11" t="s">
        <v>21</v>
      </c>
      <c r="L16" s="12">
        <v>18.899999999999999</v>
      </c>
      <c r="M16" s="36">
        <v>7.0584915171350113</v>
      </c>
    </row>
    <row r="17" spans="2:13" x14ac:dyDescent="0.25">
      <c r="B17" s="14" t="s">
        <v>87</v>
      </c>
      <c r="C17" s="15">
        <v>21.3</v>
      </c>
      <c r="D17" s="16">
        <f t="shared" si="1"/>
        <v>6.3512375588147476</v>
      </c>
      <c r="K17" s="11" t="s">
        <v>22</v>
      </c>
      <c r="L17" s="12">
        <v>28.1</v>
      </c>
      <c r="M17" s="36">
        <v>4.2378918857916705</v>
      </c>
    </row>
    <row r="18" spans="2:13" x14ac:dyDescent="0.25">
      <c r="B18" s="14" t="s">
        <v>88</v>
      </c>
      <c r="C18" s="15">
        <v>23.3</v>
      </c>
      <c r="D18" s="16">
        <f t="shared" si="1"/>
        <v>5.7524995694271093</v>
      </c>
      <c r="K18" s="37" t="s">
        <v>23</v>
      </c>
      <c r="L18" s="12">
        <v>24.8</v>
      </c>
      <c r="M18" s="36">
        <f>($F$73*L18) +$G$73</f>
        <v>4.8007337890002502</v>
      </c>
    </row>
    <row r="19" spans="2:13" x14ac:dyDescent="0.25">
      <c r="B19" s="14" t="s">
        <v>89</v>
      </c>
      <c r="C19" s="15">
        <v>28.2</v>
      </c>
      <c r="D19" s="16">
        <f t="shared" si="1"/>
        <v>4.285591495427397</v>
      </c>
      <c r="K19" s="37" t="s">
        <v>24</v>
      </c>
      <c r="L19" s="12">
        <v>24.8</v>
      </c>
      <c r="M19" s="36">
        <f t="shared" ref="M19:M22" si="2">($F$73*L19) +$G$73</f>
        <v>4.8007337890002502</v>
      </c>
    </row>
    <row r="20" spans="2:13" x14ac:dyDescent="0.25">
      <c r="B20" s="14" t="s">
        <v>90</v>
      </c>
      <c r="C20" s="15">
        <v>19.899999999999999</v>
      </c>
      <c r="D20" s="16">
        <f t="shared" si="1"/>
        <v>6.770354151386095</v>
      </c>
      <c r="K20" s="37" t="s">
        <v>25</v>
      </c>
      <c r="L20" s="12">
        <v>18.8</v>
      </c>
      <c r="M20" s="36">
        <f t="shared" si="2"/>
        <v>6.5856259517654161</v>
      </c>
    </row>
    <row r="21" spans="2:13" x14ac:dyDescent="0.25">
      <c r="B21" s="14" t="s">
        <v>91</v>
      </c>
      <c r="C21" s="15">
        <v>19.399999999999999</v>
      </c>
      <c r="D21" s="16">
        <f t="shared" si="1"/>
        <v>6.920038648733005</v>
      </c>
      <c r="K21" s="37" t="s">
        <v>26</v>
      </c>
      <c r="L21" s="12">
        <v>17.2</v>
      </c>
      <c r="M21" s="36">
        <f t="shared" si="2"/>
        <v>7.0615971951694609</v>
      </c>
    </row>
    <row r="22" spans="2:13" x14ac:dyDescent="0.25">
      <c r="B22" s="14" t="s">
        <v>92</v>
      </c>
      <c r="C22" s="15">
        <v>15.9</v>
      </c>
      <c r="D22" s="16">
        <f t="shared" si="1"/>
        <v>7.9678301301613708</v>
      </c>
      <c r="K22" s="37" t="s">
        <v>27</v>
      </c>
      <c r="L22" s="12">
        <v>20.9</v>
      </c>
      <c r="M22" s="36">
        <f t="shared" si="2"/>
        <v>5.9609136947976085</v>
      </c>
    </row>
    <row r="23" spans="2:13" x14ac:dyDescent="0.25">
      <c r="B23" s="14" t="s">
        <v>93</v>
      </c>
      <c r="C23" s="15">
        <v>14.7</v>
      </c>
      <c r="D23" s="16">
        <f t="shared" si="1"/>
        <v>8.3270729237939527</v>
      </c>
      <c r="K23" s="11" t="s">
        <v>116</v>
      </c>
      <c r="L23" s="12">
        <v>23.3</v>
      </c>
      <c r="M23" s="36">
        <v>5.7524995694271093</v>
      </c>
    </row>
    <row r="24" spans="2:13" x14ac:dyDescent="0.25">
      <c r="B24" s="14" t="s">
        <v>94</v>
      </c>
      <c r="C24" s="15">
        <v>23.2</v>
      </c>
      <c r="D24" s="16">
        <f t="shared" si="1"/>
        <v>5.782436468896492</v>
      </c>
      <c r="K24" s="11" t="s">
        <v>117</v>
      </c>
      <c r="L24" s="12">
        <v>28.2</v>
      </c>
      <c r="M24" s="36">
        <v>4.285591495427397</v>
      </c>
    </row>
    <row r="25" spans="2:13" x14ac:dyDescent="0.25">
      <c r="B25" s="14" t="s">
        <v>95</v>
      </c>
      <c r="C25" s="15">
        <v>28.3</v>
      </c>
      <c r="D25" s="16">
        <f t="shared" si="1"/>
        <v>4.2556545959580134</v>
      </c>
      <c r="K25" s="11" t="s">
        <v>118</v>
      </c>
      <c r="L25" s="12">
        <v>19.899999999999999</v>
      </c>
      <c r="M25" s="36">
        <v>6.770354151386095</v>
      </c>
    </row>
    <row r="26" spans="2:13" x14ac:dyDescent="0.25">
      <c r="B26" s="14" t="s">
        <v>96</v>
      </c>
      <c r="C26" s="15">
        <v>27.1</v>
      </c>
      <c r="D26" s="16">
        <f t="shared" si="1"/>
        <v>4.6148973895905971</v>
      </c>
      <c r="K26" s="11" t="s">
        <v>119</v>
      </c>
      <c r="L26" s="12">
        <v>19.399999999999999</v>
      </c>
      <c r="M26" s="36">
        <v>6.920038648733005</v>
      </c>
    </row>
    <row r="27" spans="2:13" x14ac:dyDescent="0.25">
      <c r="B27" s="14" t="s">
        <v>97</v>
      </c>
      <c r="C27" s="15">
        <v>24</v>
      </c>
      <c r="D27" s="16">
        <f t="shared" si="1"/>
        <v>5.5429412731414365</v>
      </c>
      <c r="K27" s="11" t="s">
        <v>120</v>
      </c>
      <c r="L27" s="12">
        <v>15.9</v>
      </c>
      <c r="M27" s="36">
        <v>7.9678301301613708</v>
      </c>
    </row>
    <row r="28" spans="2:13" x14ac:dyDescent="0.25">
      <c r="B28" s="14" t="s">
        <v>28</v>
      </c>
      <c r="C28" s="15">
        <v>25</v>
      </c>
      <c r="D28" s="16">
        <f t="shared" si="1"/>
        <v>5.2435722784476173</v>
      </c>
      <c r="K28" s="11" t="s">
        <v>62</v>
      </c>
      <c r="L28" s="12">
        <v>23.5</v>
      </c>
      <c r="M28" s="36">
        <v>5.6723914322811577</v>
      </c>
    </row>
    <row r="29" spans="2:13" x14ac:dyDescent="0.25">
      <c r="B29" s="14" t="s">
        <v>29</v>
      </c>
      <c r="C29" s="15">
        <v>35.4</v>
      </c>
      <c r="D29" s="16">
        <f t="shared" si="1"/>
        <v>2.1301347336319001</v>
      </c>
      <c r="K29" s="11" t="s">
        <v>63</v>
      </c>
      <c r="L29" s="12">
        <v>17.7</v>
      </c>
      <c r="M29" s="36">
        <v>7.4294508822132252</v>
      </c>
    </row>
    <row r="30" spans="2:13" x14ac:dyDescent="0.25">
      <c r="B30" s="14" t="s">
        <v>30</v>
      </c>
      <c r="C30" s="15">
        <v>34.6</v>
      </c>
      <c r="D30" s="16">
        <f t="shared" si="1"/>
        <v>2.3696299293869547</v>
      </c>
      <c r="K30" s="11" t="s">
        <v>64</v>
      </c>
      <c r="L30" s="12">
        <v>17.899999999999999</v>
      </c>
      <c r="M30" s="36">
        <v>7.368862625319017</v>
      </c>
    </row>
    <row r="31" spans="2:13" x14ac:dyDescent="0.25">
      <c r="B31" s="14" t="s">
        <v>31</v>
      </c>
      <c r="C31" s="15">
        <v>22</v>
      </c>
      <c r="D31" s="16">
        <f t="shared" si="1"/>
        <v>6.1416792625290748</v>
      </c>
      <c r="K31" s="11" t="s">
        <v>65</v>
      </c>
      <c r="L31" s="12">
        <v>25.2</v>
      </c>
      <c r="M31" s="36">
        <v>5.157391248680379</v>
      </c>
    </row>
    <row r="32" spans="2:13" x14ac:dyDescent="0.25">
      <c r="B32" s="14" t="s">
        <v>32</v>
      </c>
      <c r="C32" s="15">
        <v>28.2</v>
      </c>
      <c r="D32" s="16">
        <f t="shared" si="1"/>
        <v>4.285591495427397</v>
      </c>
      <c r="K32" s="11" t="s">
        <v>66</v>
      </c>
      <c r="L32" s="12">
        <v>30.1</v>
      </c>
      <c r="M32" s="36">
        <v>3.6729789547722529</v>
      </c>
    </row>
    <row r="33" spans="2:13" x14ac:dyDescent="0.25">
      <c r="B33" s="14" t="s">
        <v>33</v>
      </c>
      <c r="C33" s="15">
        <v>22</v>
      </c>
      <c r="D33" s="16">
        <f t="shared" si="1"/>
        <v>6.1416792625290748</v>
      </c>
      <c r="K33" s="38" t="s">
        <v>121</v>
      </c>
      <c r="L33" s="12">
        <v>17.399999999999999</v>
      </c>
      <c r="M33" s="36">
        <f>$F$73 * L33 +G73</f>
        <v>7.002100789743956</v>
      </c>
    </row>
    <row r="34" spans="2:13" x14ac:dyDescent="0.25">
      <c r="B34" s="14" t="s">
        <v>34</v>
      </c>
      <c r="C34" s="15">
        <v>28.1</v>
      </c>
      <c r="D34" s="16">
        <f t="shared" si="1"/>
        <v>4.3155283948967771</v>
      </c>
      <c r="K34" s="11" t="s">
        <v>75</v>
      </c>
      <c r="L34" s="12">
        <v>16.8</v>
      </c>
      <c r="M34" s="36">
        <v>7.1805900060204717</v>
      </c>
    </row>
    <row r="35" spans="2:13" x14ac:dyDescent="0.25">
      <c r="B35" s="14" t="s">
        <v>35</v>
      </c>
      <c r="C35" s="15">
        <v>26</v>
      </c>
      <c r="D35" s="16">
        <f t="shared" si="1"/>
        <v>4.9442032837537981</v>
      </c>
      <c r="K35" s="11" t="s">
        <v>122</v>
      </c>
      <c r="L35" s="12">
        <v>19.899999999999999</v>
      </c>
      <c r="M35" s="36">
        <v>6.2583957219251367</v>
      </c>
    </row>
    <row r="36" spans="2:13" x14ac:dyDescent="0.25">
      <c r="B36" s="14" t="s">
        <v>36</v>
      </c>
      <c r="C36" s="15">
        <v>16.100000000000001</v>
      </c>
      <c r="D36" s="16">
        <f t="shared" si="1"/>
        <v>7.9079563312226062</v>
      </c>
      <c r="K36" s="11" t="s">
        <v>123</v>
      </c>
      <c r="L36" s="12">
        <v>19.3</v>
      </c>
      <c r="M36" s="36">
        <v>6.4368849382016524</v>
      </c>
    </row>
    <row r="37" spans="2:13" x14ac:dyDescent="0.25">
      <c r="B37" s="14" t="s">
        <v>37</v>
      </c>
      <c r="C37" s="15">
        <v>18.399999999999999</v>
      </c>
      <c r="D37" s="16">
        <f t="shared" si="1"/>
        <v>7.2194076434268233</v>
      </c>
      <c r="K37" s="11" t="s">
        <v>124</v>
      </c>
      <c r="L37" s="12">
        <v>23.6</v>
      </c>
      <c r="M37" s="36">
        <v>5.1577122215532825</v>
      </c>
    </row>
    <row r="38" spans="2:13" x14ac:dyDescent="0.25">
      <c r="B38" s="14" t="s">
        <v>38</v>
      </c>
      <c r="C38" s="15">
        <v>27.6</v>
      </c>
      <c r="D38" s="16">
        <f t="shared" si="1"/>
        <v>4.465212892243688</v>
      </c>
      <c r="K38" s="11" t="s">
        <v>125</v>
      </c>
      <c r="L38" s="12">
        <v>14.7</v>
      </c>
      <c r="M38" s="36">
        <v>8.3270729237939527</v>
      </c>
    </row>
    <row r="39" spans="2:13" x14ac:dyDescent="0.25">
      <c r="B39" s="14" t="s">
        <v>39</v>
      </c>
      <c r="C39" s="15">
        <v>16.8</v>
      </c>
      <c r="D39" s="16">
        <f t="shared" si="1"/>
        <v>7.6983980349369334</v>
      </c>
      <c r="K39" s="11" t="s">
        <v>126</v>
      </c>
      <c r="L39" s="12">
        <v>23.2</v>
      </c>
      <c r="M39" s="36">
        <v>5.782436468896492</v>
      </c>
    </row>
    <row r="40" spans="2:13" x14ac:dyDescent="0.25">
      <c r="B40" s="14" t="s">
        <v>40</v>
      </c>
      <c r="C40" s="15" t="s">
        <v>54</v>
      </c>
      <c r="D40" s="16" t="e">
        <f t="shared" si="1"/>
        <v>#VALUE!</v>
      </c>
      <c r="K40" s="11" t="s">
        <v>127</v>
      </c>
      <c r="L40" s="12">
        <v>28.3</v>
      </c>
      <c r="M40" s="36">
        <v>4.2556545959580134</v>
      </c>
    </row>
    <row r="41" spans="2:13" x14ac:dyDescent="0.25">
      <c r="B41" s="14" t="s">
        <v>41</v>
      </c>
      <c r="C41" s="15">
        <v>20.2</v>
      </c>
      <c r="D41" s="16">
        <f t="shared" si="1"/>
        <v>6.6805434529779495</v>
      </c>
      <c r="K41" s="11" t="s">
        <v>128</v>
      </c>
      <c r="L41" s="12">
        <v>27.1</v>
      </c>
      <c r="M41" s="36">
        <v>4.6148973895905971</v>
      </c>
    </row>
    <row r="42" spans="2:13" x14ac:dyDescent="0.25">
      <c r="B42" s="14" t="s">
        <v>42</v>
      </c>
      <c r="C42" s="15">
        <v>24.4</v>
      </c>
      <c r="D42" s="16">
        <f t="shared" si="1"/>
        <v>5.4231936752639092</v>
      </c>
      <c r="K42" s="11" t="s">
        <v>129</v>
      </c>
      <c r="L42" s="12">
        <v>24</v>
      </c>
      <c r="M42" s="36">
        <v>5.5429412731414365</v>
      </c>
    </row>
    <row r="43" spans="2:13" x14ac:dyDescent="0.25">
      <c r="B43" s="14" t="s">
        <v>43</v>
      </c>
      <c r="C43" s="15">
        <v>30</v>
      </c>
      <c r="D43" s="16">
        <f t="shared" si="1"/>
        <v>3.7467273049785224</v>
      </c>
      <c r="K43" s="11" t="s">
        <v>67</v>
      </c>
      <c r="L43" s="31" t="s">
        <v>54</v>
      </c>
      <c r="M43" s="36" t="e">
        <v>#VALUE!</v>
      </c>
    </row>
    <row r="44" spans="2:13" x14ac:dyDescent="0.25">
      <c r="B44" s="14" t="s">
        <v>44</v>
      </c>
      <c r="C44" s="15" t="s">
        <v>54</v>
      </c>
      <c r="D44" s="16" t="e">
        <f t="shared" si="1"/>
        <v>#VALUE!</v>
      </c>
      <c r="K44" s="38" t="s">
        <v>130</v>
      </c>
      <c r="L44" s="32" t="s">
        <v>140</v>
      </c>
      <c r="M44" s="36" t="s">
        <v>141</v>
      </c>
    </row>
    <row r="45" spans="2:13" x14ac:dyDescent="0.25">
      <c r="B45" s="14" t="s">
        <v>45</v>
      </c>
      <c r="C45" s="15">
        <v>18.5</v>
      </c>
      <c r="D45" s="16">
        <f t="shared" si="1"/>
        <v>7.1894707439574415</v>
      </c>
      <c r="K45" s="38" t="s">
        <v>131</v>
      </c>
      <c r="L45" s="31" t="s">
        <v>54</v>
      </c>
      <c r="M45" s="36" t="s">
        <v>141</v>
      </c>
    </row>
    <row r="46" spans="2:13" x14ac:dyDescent="0.25">
      <c r="B46" s="14" t="s">
        <v>46</v>
      </c>
      <c r="C46" s="15">
        <v>18.2</v>
      </c>
      <c r="D46" s="16">
        <f t="shared" si="1"/>
        <v>7.2792814423655869</v>
      </c>
      <c r="K46" s="11" t="s">
        <v>104</v>
      </c>
      <c r="L46" s="12">
        <v>16.600000000000001</v>
      </c>
      <c r="M46" s="36">
        <v>7.7772173913043483</v>
      </c>
    </row>
    <row r="47" spans="2:13" x14ac:dyDescent="0.25">
      <c r="B47" s="14" t="s">
        <v>47</v>
      </c>
      <c r="C47" s="15">
        <v>19.899999999999999</v>
      </c>
      <c r="D47" s="16">
        <f t="shared" si="1"/>
        <v>6.770354151386095</v>
      </c>
      <c r="K47" s="11" t="s">
        <v>132</v>
      </c>
      <c r="L47" s="12">
        <v>17.600000000000001</v>
      </c>
      <c r="M47" s="36">
        <v>7.4296270942172589</v>
      </c>
    </row>
    <row r="48" spans="2:13" x14ac:dyDescent="0.25">
      <c r="B48" s="14" t="s">
        <v>48</v>
      </c>
      <c r="C48" s="15">
        <v>20.100000000000001</v>
      </c>
      <c r="D48" s="16">
        <f t="shared" si="1"/>
        <v>6.7104803524473304</v>
      </c>
      <c r="K48" s="38" t="s">
        <v>133</v>
      </c>
      <c r="L48" s="32" t="s">
        <v>140</v>
      </c>
      <c r="M48" s="36" t="s">
        <v>141</v>
      </c>
    </row>
    <row r="49" spans="2:13" x14ac:dyDescent="0.25">
      <c r="B49" s="14" t="s">
        <v>49</v>
      </c>
      <c r="C49" s="15">
        <v>31.7</v>
      </c>
      <c r="D49" s="16">
        <f t="shared" si="1"/>
        <v>3.2378000139990295</v>
      </c>
      <c r="K49" s="38" t="s">
        <v>134</v>
      </c>
      <c r="L49" s="32" t="s">
        <v>140</v>
      </c>
      <c r="M49" s="36" t="s">
        <v>141</v>
      </c>
    </row>
    <row r="50" spans="2:13" x14ac:dyDescent="0.25">
      <c r="B50" s="14" t="s">
        <v>50</v>
      </c>
      <c r="C50" s="15">
        <v>19.100000000000001</v>
      </c>
      <c r="D50" s="16">
        <f t="shared" si="1"/>
        <v>7.0098493471411496</v>
      </c>
      <c r="K50" s="11" t="s">
        <v>135</v>
      </c>
      <c r="L50" s="12">
        <v>16.5</v>
      </c>
      <c r="M50" s="36">
        <f>$F$89*L50+$G$89</f>
        <v>7.7595676454692857</v>
      </c>
    </row>
    <row r="51" spans="2:13" x14ac:dyDescent="0.25">
      <c r="B51" s="14" t="s">
        <v>51</v>
      </c>
      <c r="C51" s="15" t="s">
        <v>54</v>
      </c>
      <c r="D51" s="16" t="e">
        <f t="shared" si="1"/>
        <v>#VALUE!</v>
      </c>
      <c r="K51" s="11" t="s">
        <v>105</v>
      </c>
      <c r="L51" s="12">
        <v>15.8</v>
      </c>
      <c r="M51" s="36">
        <v>8.0130434782608706</v>
      </c>
    </row>
    <row r="52" spans="2:13" x14ac:dyDescent="0.25">
      <c r="B52" s="14" t="s">
        <v>52</v>
      </c>
      <c r="C52" s="15">
        <v>22.8</v>
      </c>
      <c r="D52" s="16">
        <f t="shared" si="1"/>
        <v>5.9021840667740193</v>
      </c>
      <c r="K52" s="11" t="s">
        <v>106</v>
      </c>
      <c r="L52" s="12">
        <v>20.399999999999999</v>
      </c>
      <c r="M52" s="36">
        <v>6.6570434782608707</v>
      </c>
    </row>
    <row r="53" spans="2:13" ht="13.8" thickBot="1" x14ac:dyDescent="0.3">
      <c r="B53" s="19" t="s">
        <v>53</v>
      </c>
      <c r="C53" s="20">
        <v>20</v>
      </c>
      <c r="D53" s="23">
        <f t="shared" si="1"/>
        <v>6.7404172519167123</v>
      </c>
      <c r="K53" s="11" t="s">
        <v>107</v>
      </c>
      <c r="L53" s="12">
        <v>17.5</v>
      </c>
      <c r="M53" s="36">
        <v>7.5119130434782617</v>
      </c>
    </row>
    <row r="54" spans="2:13" ht="13.8" thickBot="1" x14ac:dyDescent="0.3">
      <c r="B54" s="42" t="s">
        <v>61</v>
      </c>
      <c r="C54" s="43"/>
      <c r="D54" s="44"/>
      <c r="K54" s="11" t="s">
        <v>108</v>
      </c>
      <c r="L54" s="12">
        <v>24.3</v>
      </c>
      <c r="M54" s="36">
        <v>5.5073913043478262</v>
      </c>
    </row>
    <row r="55" spans="2:13" ht="13.8" thickBot="1" x14ac:dyDescent="0.3">
      <c r="B55" s="2" t="s">
        <v>7</v>
      </c>
      <c r="C55" s="3" t="s">
        <v>8</v>
      </c>
      <c r="D55" s="4" t="s">
        <v>9</v>
      </c>
      <c r="F55" s="42" t="s">
        <v>55</v>
      </c>
      <c r="G55" s="43"/>
      <c r="H55" s="44"/>
      <c r="K55" s="11" t="s">
        <v>109</v>
      </c>
      <c r="L55" s="12">
        <v>19.899999999999999</v>
      </c>
      <c r="M55" s="36">
        <v>6.8044347826086966</v>
      </c>
    </row>
    <row r="56" spans="2:13" x14ac:dyDescent="0.25">
      <c r="B56" s="24" t="s">
        <v>2</v>
      </c>
      <c r="C56" s="9">
        <v>18</v>
      </c>
      <c r="D56" s="10">
        <f>LOG10(H5)</f>
        <v>7.357332496431269</v>
      </c>
      <c r="F56" s="45" t="s">
        <v>68</v>
      </c>
      <c r="G56" s="46"/>
      <c r="H56" s="47"/>
      <c r="K56" s="11" t="s">
        <v>110</v>
      </c>
      <c r="L56" s="12">
        <v>18</v>
      </c>
      <c r="M56" s="36">
        <v>7.3645217391304358</v>
      </c>
    </row>
    <row r="57" spans="2:13" x14ac:dyDescent="0.25">
      <c r="B57" s="22" t="s">
        <v>3</v>
      </c>
      <c r="C57" s="15">
        <v>21.1</v>
      </c>
      <c r="D57" s="16">
        <f>D56-1</f>
        <v>6.357332496431269</v>
      </c>
      <c r="F57" s="5" t="s">
        <v>56</v>
      </c>
      <c r="G57" s="6" t="s">
        <v>57</v>
      </c>
      <c r="H57" s="7" t="s">
        <v>58</v>
      </c>
      <c r="K57" s="11" t="s">
        <v>111</v>
      </c>
      <c r="L57" s="12">
        <v>17.2</v>
      </c>
      <c r="M57" s="36">
        <v>7.6003478260869572</v>
      </c>
    </row>
    <row r="58" spans="2:13" x14ac:dyDescent="0.25">
      <c r="B58" s="22" t="s">
        <v>4</v>
      </c>
      <c r="C58" s="15">
        <v>24.6</v>
      </c>
      <c r="D58" s="16">
        <f t="shared" ref="D58:D60" si="3">D57-1</f>
        <v>5.357332496431269</v>
      </c>
      <c r="F58" s="11">
        <f>10^8.5</f>
        <v>316227766.01683807</v>
      </c>
      <c r="G58" s="12">
        <v>225</v>
      </c>
      <c r="H58" s="13">
        <f>(F58*G58)/(2900+G58)</f>
        <v>22768399.153212342</v>
      </c>
      <c r="K58" s="11" t="s">
        <v>112</v>
      </c>
      <c r="L58" s="12">
        <v>23.2</v>
      </c>
      <c r="M58" s="36">
        <v>5.831652173913044</v>
      </c>
    </row>
    <row r="59" spans="2:13" x14ac:dyDescent="0.25">
      <c r="B59" s="22" t="s">
        <v>5</v>
      </c>
      <c r="C59" s="15">
        <v>27.9</v>
      </c>
      <c r="D59" s="16">
        <f t="shared" si="3"/>
        <v>4.357332496431269</v>
      </c>
      <c r="F59" s="17" t="s">
        <v>59</v>
      </c>
      <c r="G59" s="18" t="s">
        <v>60</v>
      </c>
      <c r="H59" s="13"/>
      <c r="K59" s="11" t="s">
        <v>113</v>
      </c>
      <c r="L59" s="12">
        <v>28.3</v>
      </c>
      <c r="M59" s="36">
        <v>4.3282608695652165</v>
      </c>
    </row>
    <row r="60" spans="2:13" ht="13.8" thickBot="1" x14ac:dyDescent="0.3">
      <c r="B60" s="22" t="s">
        <v>6</v>
      </c>
      <c r="C60" s="15">
        <v>31.1</v>
      </c>
      <c r="D60" s="16">
        <f t="shared" si="3"/>
        <v>3.357332496431269</v>
      </c>
      <c r="F60" s="19">
        <f>LINEST(D56:D60,C56:C60, TRUE)</f>
        <v>-0.30294128447104618</v>
      </c>
      <c r="G60" s="20">
        <f>INTERCEPT(D56:D60,C56:C60)</f>
        <v>12.791511617350743</v>
      </c>
      <c r="H60" s="21"/>
      <c r="K60" s="11" t="s">
        <v>28</v>
      </c>
      <c r="L60" s="12">
        <v>25</v>
      </c>
      <c r="M60" s="36">
        <v>5.2435722784476173</v>
      </c>
    </row>
    <row r="61" spans="2:13" x14ac:dyDescent="0.25">
      <c r="B61" s="22" t="s">
        <v>62</v>
      </c>
      <c r="C61" s="15">
        <v>23.5</v>
      </c>
      <c r="D61" s="25">
        <f>($F$60*C61)+$G$60</f>
        <v>5.6723914322811577</v>
      </c>
      <c r="K61" s="11" t="s">
        <v>29</v>
      </c>
      <c r="L61" s="12">
        <v>35.4</v>
      </c>
      <c r="M61" s="36">
        <v>2.1301347336319001</v>
      </c>
    </row>
    <row r="62" spans="2:13" x14ac:dyDescent="0.25">
      <c r="B62" s="22" t="s">
        <v>63</v>
      </c>
      <c r="C62" s="15">
        <v>17.7</v>
      </c>
      <c r="D62" s="25">
        <f t="shared" ref="D62:D66" si="4">($F$60*C62)+$G$60</f>
        <v>7.4294508822132252</v>
      </c>
      <c r="K62" s="11" t="s">
        <v>30</v>
      </c>
      <c r="L62" s="12">
        <v>34.6</v>
      </c>
      <c r="M62" s="36">
        <v>2.3696299293869547</v>
      </c>
    </row>
    <row r="63" spans="2:13" x14ac:dyDescent="0.25">
      <c r="B63" s="22" t="s">
        <v>64</v>
      </c>
      <c r="C63" s="15">
        <v>17.899999999999999</v>
      </c>
      <c r="D63" s="25">
        <f t="shared" si="4"/>
        <v>7.368862625319017</v>
      </c>
      <c r="K63" s="11" t="s">
        <v>31</v>
      </c>
      <c r="L63" s="12">
        <v>22</v>
      </c>
      <c r="M63" s="36">
        <v>6.1416792625290748</v>
      </c>
    </row>
    <row r="64" spans="2:13" x14ac:dyDescent="0.25">
      <c r="B64" s="22" t="s">
        <v>65</v>
      </c>
      <c r="C64" s="15">
        <v>25.2</v>
      </c>
      <c r="D64" s="25">
        <f t="shared" si="4"/>
        <v>5.157391248680379</v>
      </c>
      <c r="K64" s="11" t="s">
        <v>136</v>
      </c>
      <c r="L64" s="12">
        <v>16</v>
      </c>
      <c r="M64" s="36">
        <v>7.9095406233111163</v>
      </c>
    </row>
    <row r="65" spans="2:18" x14ac:dyDescent="0.25">
      <c r="B65" s="22" t="s">
        <v>66</v>
      </c>
      <c r="C65" s="15">
        <v>30.1</v>
      </c>
      <c r="D65" s="25">
        <f t="shared" si="4"/>
        <v>3.6729789547722529</v>
      </c>
      <c r="K65" s="11" t="s">
        <v>137</v>
      </c>
      <c r="L65" s="12">
        <v>17</v>
      </c>
      <c r="M65" s="36">
        <v>7.609594667627456</v>
      </c>
    </row>
    <row r="66" spans="2:18" ht="13.8" thickBot="1" x14ac:dyDescent="0.3">
      <c r="B66" s="26" t="s">
        <v>67</v>
      </c>
      <c r="C66" s="20" t="s">
        <v>54</v>
      </c>
      <c r="D66" s="27" t="e">
        <f t="shared" si="4"/>
        <v>#VALUE!</v>
      </c>
      <c r="K66" s="38" t="s">
        <v>138</v>
      </c>
      <c r="L66" s="12">
        <v>24</v>
      </c>
      <c r="M66" s="36">
        <v>6.31</v>
      </c>
      <c r="Q66" s="1" t="s">
        <v>144</v>
      </c>
      <c r="R66" s="1" t="s">
        <v>145</v>
      </c>
    </row>
    <row r="67" spans="2:18" ht="13.8" thickBot="1" x14ac:dyDescent="0.3">
      <c r="B67" s="42" t="s">
        <v>69</v>
      </c>
      <c r="C67" s="43"/>
      <c r="D67" s="44"/>
      <c r="K67" s="38" t="s">
        <v>139</v>
      </c>
      <c r="L67" s="32" t="s">
        <v>140</v>
      </c>
      <c r="M67" s="36" t="s">
        <v>141</v>
      </c>
      <c r="Q67" s="1">
        <f>AVERAGE(F7,F60,F73,F89,F100,F117,F129)</f>
        <v>-0.29981360048937261</v>
      </c>
      <c r="R67" s="1">
        <f>AVERAGE(G7,G60,G73,G89,G100,G117,G129)</f>
        <v>12.649292411762257</v>
      </c>
    </row>
    <row r="68" spans="2:18" ht="13.8" thickBot="1" x14ac:dyDescent="0.3">
      <c r="B68" s="2" t="s">
        <v>7</v>
      </c>
      <c r="C68" s="3" t="s">
        <v>8</v>
      </c>
      <c r="D68" s="4" t="s">
        <v>9</v>
      </c>
      <c r="F68" s="42" t="s">
        <v>55</v>
      </c>
      <c r="G68" s="43"/>
      <c r="H68" s="44"/>
      <c r="K68" s="11" t="s">
        <v>32</v>
      </c>
      <c r="L68" s="12">
        <v>28.2</v>
      </c>
      <c r="M68" s="36">
        <v>4.285591495427397</v>
      </c>
    </row>
    <row r="69" spans="2:18" x14ac:dyDescent="0.25">
      <c r="B69" s="24" t="s">
        <v>2</v>
      </c>
      <c r="C69" s="9">
        <v>16.3</v>
      </c>
      <c r="D69" s="10">
        <v>7.36</v>
      </c>
      <c r="F69" s="45" t="s">
        <v>69</v>
      </c>
      <c r="G69" s="46"/>
      <c r="H69" s="47"/>
      <c r="K69" s="11" t="s">
        <v>33</v>
      </c>
      <c r="L69" s="12">
        <v>22</v>
      </c>
      <c r="M69" s="36">
        <v>6.1416792625290748</v>
      </c>
      <c r="P69" s="1" t="s">
        <v>7</v>
      </c>
      <c r="Q69" s="1" t="s">
        <v>8</v>
      </c>
      <c r="R69" s="1" t="s">
        <v>9</v>
      </c>
    </row>
    <row r="70" spans="2:18" x14ac:dyDescent="0.25">
      <c r="B70" s="22" t="s">
        <v>3</v>
      </c>
      <c r="C70" s="15">
        <v>19.399999999999999</v>
      </c>
      <c r="D70" s="16">
        <v>6.36</v>
      </c>
      <c r="F70" s="5" t="s">
        <v>56</v>
      </c>
      <c r="G70" s="6" t="s">
        <v>57</v>
      </c>
      <c r="H70" s="7" t="s">
        <v>58</v>
      </c>
      <c r="K70" s="11" t="s">
        <v>34</v>
      </c>
      <c r="L70" s="12">
        <v>28.1</v>
      </c>
      <c r="M70" s="36">
        <v>4.3155283948967771</v>
      </c>
      <c r="P70" s="1">
        <v>2928</v>
      </c>
      <c r="Q70" s="1">
        <v>22.6</v>
      </c>
      <c r="R70" s="1">
        <f>$Q$67*Q70 +$R$67</f>
        <v>5.8735050407024358</v>
      </c>
    </row>
    <row r="71" spans="2:18" x14ac:dyDescent="0.25">
      <c r="B71" s="22" t="s">
        <v>4</v>
      </c>
      <c r="C71" s="15">
        <v>23</v>
      </c>
      <c r="D71" s="16">
        <v>5.36</v>
      </c>
      <c r="F71" s="11">
        <f>10^8.5</f>
        <v>316227766.01683807</v>
      </c>
      <c r="G71" s="12">
        <v>225</v>
      </c>
      <c r="H71" s="13">
        <f>(F71*G71)/(2900+G71)</f>
        <v>22768399.153212342</v>
      </c>
      <c r="K71" s="11" t="s">
        <v>35</v>
      </c>
      <c r="L71" s="12">
        <v>26</v>
      </c>
      <c r="M71" s="36">
        <v>4.9442032837537981</v>
      </c>
      <c r="P71" s="1">
        <v>2930</v>
      </c>
      <c r="Q71" s="1">
        <v>16.2</v>
      </c>
      <c r="R71" s="1">
        <f t="shared" ref="R71:R74" si="5">$Q$67*Q71 +$R$67</f>
        <v>7.7923120838344211</v>
      </c>
    </row>
    <row r="72" spans="2:18" x14ac:dyDescent="0.25">
      <c r="B72" s="22" t="s">
        <v>5</v>
      </c>
      <c r="C72" s="15">
        <v>26.2</v>
      </c>
      <c r="D72" s="16">
        <v>4.3600000000000003</v>
      </c>
      <c r="F72" s="17" t="s">
        <v>59</v>
      </c>
      <c r="G72" s="18" t="s">
        <v>60</v>
      </c>
      <c r="H72" s="13"/>
      <c r="K72" s="11" t="s">
        <v>36</v>
      </c>
      <c r="L72" s="12">
        <v>16.100000000000001</v>
      </c>
      <c r="M72" s="36">
        <v>7.9079563312226062</v>
      </c>
      <c r="P72" s="1">
        <v>2942</v>
      </c>
      <c r="Q72" s="1">
        <v>16.3</v>
      </c>
      <c r="R72" s="1">
        <f t="shared" si="5"/>
        <v>7.7623307237854835</v>
      </c>
    </row>
    <row r="73" spans="2:18" ht="13.8" thickBot="1" x14ac:dyDescent="0.3">
      <c r="B73" s="22" t="s">
        <v>6</v>
      </c>
      <c r="C73" s="15">
        <v>29.7</v>
      </c>
      <c r="D73" s="16">
        <v>3.36</v>
      </c>
      <c r="F73" s="19">
        <f>LINEST(D69:D73,C69:C73, TRUE)</f>
        <v>-0.29748202712752775</v>
      </c>
      <c r="G73" s="20">
        <f>INTERCEPT(D69:D73,C69:C73)</f>
        <v>12.178288061762938</v>
      </c>
      <c r="H73" s="21"/>
      <c r="K73" s="11" t="s">
        <v>37</v>
      </c>
      <c r="L73" s="12">
        <v>18.399999999999999</v>
      </c>
      <c r="M73" s="36">
        <v>7.2194076434268233</v>
      </c>
      <c r="P73" s="1">
        <v>2937</v>
      </c>
      <c r="Q73" s="1">
        <v>21</v>
      </c>
      <c r="R73" s="1">
        <f t="shared" si="5"/>
        <v>6.3532068014854319</v>
      </c>
    </row>
    <row r="74" spans="2:18" x14ac:dyDescent="0.25">
      <c r="B74" s="22" t="s">
        <v>70</v>
      </c>
      <c r="C74" s="15">
        <v>24.8</v>
      </c>
      <c r="D74" s="16">
        <f>($F$73*C74) +$G$73</f>
        <v>4.8007337890002502</v>
      </c>
      <c r="K74" s="11" t="s">
        <v>38</v>
      </c>
      <c r="L74" s="12">
        <v>27.6</v>
      </c>
      <c r="M74" s="36">
        <v>4.465212892243688</v>
      </c>
      <c r="P74" s="1">
        <v>2927</v>
      </c>
      <c r="Q74" s="1">
        <v>21.1</v>
      </c>
      <c r="R74" s="1">
        <f t="shared" si="5"/>
        <v>6.3232254414364943</v>
      </c>
    </row>
    <row r="75" spans="2:18" x14ac:dyDescent="0.25">
      <c r="B75" s="22" t="s">
        <v>71</v>
      </c>
      <c r="C75" s="15">
        <v>24.8</v>
      </c>
      <c r="D75" s="16">
        <f t="shared" ref="D75:D82" si="6">($F$73*C75) +$G$73</f>
        <v>4.8007337890002502</v>
      </c>
      <c r="K75" s="11" t="s">
        <v>39</v>
      </c>
      <c r="L75" s="12">
        <v>16.8</v>
      </c>
      <c r="M75" s="36">
        <v>7.6983980349369334</v>
      </c>
    </row>
    <row r="76" spans="2:18" x14ac:dyDescent="0.25">
      <c r="B76" s="22" t="s">
        <v>72</v>
      </c>
      <c r="C76" s="15">
        <v>18.8</v>
      </c>
      <c r="D76" s="16">
        <f t="shared" si="6"/>
        <v>6.5856259517654161</v>
      </c>
      <c r="K76" s="11" t="s">
        <v>40</v>
      </c>
      <c r="L76" s="31" t="s">
        <v>54</v>
      </c>
      <c r="M76" s="36" t="e">
        <v>#VALUE!</v>
      </c>
    </row>
    <row r="77" spans="2:18" x14ac:dyDescent="0.25">
      <c r="B77" s="22" t="s">
        <v>73</v>
      </c>
      <c r="C77" s="15">
        <v>17.2</v>
      </c>
      <c r="D77" s="16">
        <f t="shared" si="6"/>
        <v>7.0615971951694609</v>
      </c>
      <c r="K77" s="11" t="s">
        <v>41</v>
      </c>
      <c r="L77" s="12">
        <v>20.2</v>
      </c>
      <c r="M77" s="36">
        <v>6.6805434529779495</v>
      </c>
    </row>
    <row r="78" spans="2:18" x14ac:dyDescent="0.25">
      <c r="B78" s="22" t="s">
        <v>74</v>
      </c>
      <c r="C78" s="15">
        <v>20.9</v>
      </c>
      <c r="D78" s="16">
        <f t="shared" si="6"/>
        <v>5.9609136947976085</v>
      </c>
      <c r="K78" s="11" t="s">
        <v>42</v>
      </c>
      <c r="L78" s="12">
        <v>24.4</v>
      </c>
      <c r="M78" s="36">
        <v>5.4231936752639092</v>
      </c>
    </row>
    <row r="79" spans="2:18" x14ac:dyDescent="0.25">
      <c r="B79" s="22" t="s">
        <v>76</v>
      </c>
      <c r="C79" s="15">
        <v>16.8</v>
      </c>
      <c r="D79" s="16">
        <f t="shared" si="6"/>
        <v>7.1805900060204717</v>
      </c>
      <c r="K79" s="11" t="s">
        <v>43</v>
      </c>
      <c r="L79" s="12">
        <v>30</v>
      </c>
      <c r="M79" s="36">
        <v>3.7467273049785224</v>
      </c>
    </row>
    <row r="80" spans="2:18" x14ac:dyDescent="0.25">
      <c r="B80" s="22" t="s">
        <v>77</v>
      </c>
      <c r="C80" s="15">
        <v>19.899999999999999</v>
      </c>
      <c r="D80" s="16">
        <f t="shared" si="6"/>
        <v>6.2583957219251367</v>
      </c>
      <c r="K80" s="11" t="s">
        <v>44</v>
      </c>
      <c r="L80" s="31" t="s">
        <v>54</v>
      </c>
      <c r="M80" s="36" t="e">
        <v>#VALUE!</v>
      </c>
    </row>
    <row r="81" spans="2:13" x14ac:dyDescent="0.25">
      <c r="B81" s="22" t="s">
        <v>78</v>
      </c>
      <c r="C81" s="15">
        <v>19.3</v>
      </c>
      <c r="D81" s="16">
        <f t="shared" si="6"/>
        <v>6.4368849382016524</v>
      </c>
      <c r="K81" s="11" t="s">
        <v>45</v>
      </c>
      <c r="L81" s="12">
        <v>18.5</v>
      </c>
      <c r="M81" s="36">
        <v>7.1894707439574415</v>
      </c>
    </row>
    <row r="82" spans="2:13" ht="13.8" thickBot="1" x14ac:dyDescent="0.3">
      <c r="B82" s="26" t="s">
        <v>79</v>
      </c>
      <c r="C82" s="20">
        <v>23.6</v>
      </c>
      <c r="D82" s="23">
        <f t="shared" si="6"/>
        <v>5.1577122215532825</v>
      </c>
      <c r="K82" s="11" t="s">
        <v>46</v>
      </c>
      <c r="L82" s="12">
        <v>18.2</v>
      </c>
      <c r="M82" s="36">
        <v>7.2792814423655869</v>
      </c>
    </row>
    <row r="83" spans="2:13" ht="13.8" thickBot="1" x14ac:dyDescent="0.3">
      <c r="B83" s="42" t="s">
        <v>98</v>
      </c>
      <c r="C83" s="43"/>
      <c r="D83" s="44"/>
      <c r="K83" s="11" t="s">
        <v>47</v>
      </c>
      <c r="L83" s="12">
        <v>19.899999999999999</v>
      </c>
      <c r="M83" s="36">
        <v>6.770354151386095</v>
      </c>
    </row>
    <row r="84" spans="2:13" ht="13.8" thickBot="1" x14ac:dyDescent="0.3">
      <c r="B84" s="2" t="s">
        <v>7</v>
      </c>
      <c r="C84" s="3" t="s">
        <v>8</v>
      </c>
      <c r="D84" s="4" t="s">
        <v>9</v>
      </c>
      <c r="F84" s="42" t="s">
        <v>55</v>
      </c>
      <c r="G84" s="43"/>
      <c r="H84" s="44"/>
      <c r="K84" s="11" t="s">
        <v>48</v>
      </c>
      <c r="L84" s="12">
        <v>20.100000000000001</v>
      </c>
      <c r="M84" s="36">
        <v>6.7104803524473304</v>
      </c>
    </row>
    <row r="85" spans="2:13" x14ac:dyDescent="0.25">
      <c r="B85" s="8" t="s">
        <v>2</v>
      </c>
      <c r="C85" s="9">
        <v>17.7</v>
      </c>
      <c r="D85" s="10">
        <v>7.36</v>
      </c>
      <c r="F85" s="45" t="s">
        <v>98</v>
      </c>
      <c r="G85" s="46"/>
      <c r="H85" s="47"/>
      <c r="K85" s="11" t="s">
        <v>49</v>
      </c>
      <c r="L85" s="12">
        <v>31.7</v>
      </c>
      <c r="M85" s="36">
        <v>3.2378000139990295</v>
      </c>
    </row>
    <row r="86" spans="2:13" x14ac:dyDescent="0.25">
      <c r="B86" s="14" t="s">
        <v>3</v>
      </c>
      <c r="C86" s="15">
        <v>21.3</v>
      </c>
      <c r="D86" s="16">
        <v>6.36</v>
      </c>
      <c r="F86" s="5" t="s">
        <v>56</v>
      </c>
      <c r="G86" s="6" t="s">
        <v>57</v>
      </c>
      <c r="H86" s="7" t="s">
        <v>58</v>
      </c>
      <c r="K86" s="11" t="s">
        <v>50</v>
      </c>
      <c r="L86" s="12">
        <v>19.100000000000001</v>
      </c>
      <c r="M86" s="36">
        <v>7.0098493471411496</v>
      </c>
    </row>
    <row r="87" spans="2:13" x14ac:dyDescent="0.25">
      <c r="B87" s="14" t="s">
        <v>4</v>
      </c>
      <c r="C87" s="15">
        <v>24.7</v>
      </c>
      <c r="D87" s="16">
        <v>5.36</v>
      </c>
      <c r="F87" s="11">
        <f>10^8.5</f>
        <v>316227766.01683807</v>
      </c>
      <c r="G87" s="12">
        <v>225</v>
      </c>
      <c r="H87" s="13">
        <f>(F87*G87)/(2900+G87)</f>
        <v>22768399.153212342</v>
      </c>
      <c r="K87" s="11" t="s">
        <v>51</v>
      </c>
      <c r="L87" s="31" t="s">
        <v>54</v>
      </c>
      <c r="M87" s="36" t="e">
        <v>#VALUE!</v>
      </c>
    </row>
    <row r="88" spans="2:13" x14ac:dyDescent="0.25">
      <c r="B88" s="14" t="s">
        <v>5</v>
      </c>
      <c r="C88" s="15">
        <v>27.6</v>
      </c>
      <c r="D88" s="16">
        <v>4.3600000000000003</v>
      </c>
      <c r="F88" s="17" t="s">
        <v>59</v>
      </c>
      <c r="G88" s="18" t="s">
        <v>60</v>
      </c>
      <c r="H88" s="13"/>
      <c r="K88" s="11" t="s">
        <v>52</v>
      </c>
      <c r="L88" s="12">
        <v>22.8</v>
      </c>
      <c r="M88" s="36">
        <v>5.9021840667740193</v>
      </c>
    </row>
    <row r="89" spans="2:13" ht="13.8" thickBot="1" x14ac:dyDescent="0.3">
      <c r="B89" s="14" t="s">
        <v>6</v>
      </c>
      <c r="C89" s="15">
        <v>31.2</v>
      </c>
      <c r="D89" s="16">
        <v>3.36</v>
      </c>
      <c r="F89" s="19">
        <f>LINEST(D85:D89,C85:C89, TRUE)</f>
        <v>-0.29994595568366056</v>
      </c>
      <c r="G89" s="20">
        <f>INTERCEPT(D85:D89,C85:C89)</f>
        <v>12.708675914249685</v>
      </c>
      <c r="H89" s="21"/>
      <c r="K89" s="39" t="s">
        <v>53</v>
      </c>
      <c r="L89" s="40">
        <v>20</v>
      </c>
      <c r="M89" s="41">
        <v>6.7404172519167123</v>
      </c>
    </row>
    <row r="90" spans="2:13" x14ac:dyDescent="0.25">
      <c r="B90" s="14" t="s">
        <v>99</v>
      </c>
      <c r="C90" s="15">
        <v>17.600000000000001</v>
      </c>
      <c r="D90" s="16">
        <f>$F$89*C90+$G$89</f>
        <v>7.4296270942172589</v>
      </c>
    </row>
    <row r="91" spans="2:13" x14ac:dyDescent="0.25">
      <c r="B91" s="14" t="s">
        <v>100</v>
      </c>
      <c r="C91" s="15">
        <v>16.5</v>
      </c>
      <c r="D91" s="16">
        <f>$F$89*C91+$G$89</f>
        <v>7.7595676454692857</v>
      </c>
    </row>
    <row r="92" spans="2:13" x14ac:dyDescent="0.25">
      <c r="B92" s="14" t="s">
        <v>101</v>
      </c>
      <c r="C92" s="15">
        <v>16</v>
      </c>
      <c r="D92" s="16">
        <f t="shared" ref="D92:D93" si="7">$F$89*C92+$G$89</f>
        <v>7.9095406233111163</v>
      </c>
    </row>
    <row r="93" spans="2:13" ht="13.8" thickBot="1" x14ac:dyDescent="0.3">
      <c r="B93" s="19" t="s">
        <v>102</v>
      </c>
      <c r="C93" s="20">
        <v>17</v>
      </c>
      <c r="D93" s="23">
        <f t="shared" si="7"/>
        <v>7.609594667627456</v>
      </c>
    </row>
    <row r="94" spans="2:13" ht="13.8" thickBot="1" x14ac:dyDescent="0.3">
      <c r="B94" s="42" t="s">
        <v>103</v>
      </c>
      <c r="C94" s="43"/>
      <c r="D94" s="44"/>
    </row>
    <row r="95" spans="2:13" ht="13.8" thickBot="1" x14ac:dyDescent="0.3">
      <c r="B95" s="2" t="s">
        <v>7</v>
      </c>
      <c r="C95" s="3" t="s">
        <v>8</v>
      </c>
      <c r="D95" s="4" t="s">
        <v>9</v>
      </c>
      <c r="F95" s="42" t="s">
        <v>55</v>
      </c>
      <c r="G95" s="43"/>
      <c r="H95" s="44"/>
    </row>
    <row r="96" spans="2:13" x14ac:dyDescent="0.25">
      <c r="B96" s="8" t="s">
        <v>2</v>
      </c>
      <c r="C96" s="9">
        <v>18.100000000000001</v>
      </c>
      <c r="D96" s="10">
        <v>7.36</v>
      </c>
      <c r="F96" s="45" t="s">
        <v>103</v>
      </c>
      <c r="G96" s="46"/>
      <c r="H96" s="47"/>
    </row>
    <row r="97" spans="2:8" x14ac:dyDescent="0.25">
      <c r="B97" s="14" t="s">
        <v>3</v>
      </c>
      <c r="C97" s="15">
        <v>21.3</v>
      </c>
      <c r="D97" s="16">
        <v>6.36</v>
      </c>
      <c r="F97" s="5" t="s">
        <v>56</v>
      </c>
      <c r="G97" s="6" t="s">
        <v>57</v>
      </c>
      <c r="H97" s="7" t="s">
        <v>58</v>
      </c>
    </row>
    <row r="98" spans="2:8" x14ac:dyDescent="0.25">
      <c r="B98" s="14" t="s">
        <v>4</v>
      </c>
      <c r="C98" s="15">
        <v>24.9</v>
      </c>
      <c r="D98" s="16">
        <v>5.36</v>
      </c>
      <c r="F98" s="11">
        <f>10^8.5</f>
        <v>316227766.01683807</v>
      </c>
      <c r="G98" s="12">
        <v>225</v>
      </c>
      <c r="H98" s="13">
        <f>(F98*G98)/(2900+G98)</f>
        <v>22768399.153212342</v>
      </c>
    </row>
    <row r="99" spans="2:8" x14ac:dyDescent="0.25">
      <c r="B99" s="14" t="s">
        <v>5</v>
      </c>
      <c r="C99" s="15">
        <v>28</v>
      </c>
      <c r="D99" s="16">
        <v>4.3600000000000003</v>
      </c>
      <c r="F99" s="17" t="s">
        <v>59</v>
      </c>
      <c r="G99" s="18" t="s">
        <v>60</v>
      </c>
      <c r="H99" s="13"/>
    </row>
    <row r="100" spans="2:8" ht="13.8" thickBot="1" x14ac:dyDescent="0.3">
      <c r="B100" s="14" t="s">
        <v>6</v>
      </c>
      <c r="C100" s="15">
        <v>31.7</v>
      </c>
      <c r="D100" s="16">
        <v>3.36</v>
      </c>
      <c r="F100" s="19">
        <f>LINEST(D96:D100,C96:C100, TRUE)</f>
        <v>-0.29478260869565232</v>
      </c>
      <c r="G100" s="20">
        <f>INTERCEPT(D96:D100,C96:C100)</f>
        <v>12.670608695652177</v>
      </c>
      <c r="H100" s="21"/>
    </row>
    <row r="101" spans="2:8" x14ac:dyDescent="0.25">
      <c r="B101" s="14" t="s">
        <v>104</v>
      </c>
      <c r="C101" s="15">
        <v>16.600000000000001</v>
      </c>
      <c r="D101" s="16">
        <f>$F$100 * C101 + $G$100</f>
        <v>7.7772173913043483</v>
      </c>
    </row>
    <row r="102" spans="2:8" x14ac:dyDescent="0.25">
      <c r="B102" s="14" t="s">
        <v>105</v>
      </c>
      <c r="C102" s="15">
        <v>15.8</v>
      </c>
      <c r="D102" s="16">
        <f t="shared" ref="D102:D110" si="8">$F$100 * C102 + $G$100</f>
        <v>8.0130434782608706</v>
      </c>
    </row>
    <row r="103" spans="2:8" x14ac:dyDescent="0.25">
      <c r="B103" s="14" t="s">
        <v>106</v>
      </c>
      <c r="C103" s="15">
        <v>20.399999999999999</v>
      </c>
      <c r="D103" s="16">
        <f t="shared" si="8"/>
        <v>6.6570434782608707</v>
      </c>
    </row>
    <row r="104" spans="2:8" x14ac:dyDescent="0.25">
      <c r="B104" s="14" t="s">
        <v>107</v>
      </c>
      <c r="C104" s="15">
        <v>17.5</v>
      </c>
      <c r="D104" s="16">
        <f t="shared" si="8"/>
        <v>7.5119130434782617</v>
      </c>
    </row>
    <row r="105" spans="2:8" x14ac:dyDescent="0.25">
      <c r="B105" s="14" t="s">
        <v>108</v>
      </c>
      <c r="C105" s="15">
        <v>24.3</v>
      </c>
      <c r="D105" s="16">
        <f t="shared" si="8"/>
        <v>5.5073913043478262</v>
      </c>
    </row>
    <row r="106" spans="2:8" x14ac:dyDescent="0.25">
      <c r="B106" s="14" t="s">
        <v>109</v>
      </c>
      <c r="C106" s="15">
        <v>19.899999999999999</v>
      </c>
      <c r="D106" s="16">
        <f t="shared" si="8"/>
        <v>6.8044347826086966</v>
      </c>
    </row>
    <row r="107" spans="2:8" x14ac:dyDescent="0.25">
      <c r="B107" s="14" t="s">
        <v>110</v>
      </c>
      <c r="C107" s="15">
        <v>18</v>
      </c>
      <c r="D107" s="16">
        <f t="shared" si="8"/>
        <v>7.3645217391304358</v>
      </c>
    </row>
    <row r="108" spans="2:8" x14ac:dyDescent="0.25">
      <c r="B108" s="14" t="s">
        <v>111</v>
      </c>
      <c r="C108" s="15">
        <v>17.2</v>
      </c>
      <c r="D108" s="16">
        <f t="shared" si="8"/>
        <v>7.6003478260869572</v>
      </c>
    </row>
    <row r="109" spans="2:8" x14ac:dyDescent="0.25">
      <c r="B109" s="14" t="s">
        <v>112</v>
      </c>
      <c r="C109" s="15">
        <v>23.2</v>
      </c>
      <c r="D109" s="16">
        <f t="shared" si="8"/>
        <v>5.831652173913044</v>
      </c>
    </row>
    <row r="110" spans="2:8" ht="13.8" thickBot="1" x14ac:dyDescent="0.3">
      <c r="B110" s="19" t="s">
        <v>113</v>
      </c>
      <c r="C110" s="20">
        <v>28.3</v>
      </c>
      <c r="D110" s="23">
        <f t="shared" si="8"/>
        <v>4.3282608695652165</v>
      </c>
    </row>
    <row r="111" spans="2:8" ht="13.8" thickBot="1" x14ac:dyDescent="0.3">
      <c r="B111" s="42" t="s">
        <v>114</v>
      </c>
      <c r="C111" s="43"/>
      <c r="D111" s="44"/>
    </row>
    <row r="112" spans="2:8" ht="13.8" thickBot="1" x14ac:dyDescent="0.3">
      <c r="B112" s="2" t="s">
        <v>7</v>
      </c>
      <c r="C112" s="3" t="s">
        <v>8</v>
      </c>
      <c r="D112" s="4" t="s">
        <v>9</v>
      </c>
      <c r="F112" s="42" t="s">
        <v>55</v>
      </c>
      <c r="G112" s="43"/>
      <c r="H112" s="44"/>
    </row>
    <row r="113" spans="2:8" x14ac:dyDescent="0.25">
      <c r="B113" s="8" t="s">
        <v>2</v>
      </c>
      <c r="C113" s="9">
        <v>18</v>
      </c>
      <c r="D113" s="10">
        <v>7.36</v>
      </c>
      <c r="F113" s="45" t="s">
        <v>114</v>
      </c>
      <c r="G113" s="46"/>
      <c r="H113" s="47"/>
    </row>
    <row r="114" spans="2:8" x14ac:dyDescent="0.25">
      <c r="B114" s="14" t="s">
        <v>3</v>
      </c>
      <c r="C114" s="15">
        <v>21.2</v>
      </c>
      <c r="D114" s="16">
        <v>6.36</v>
      </c>
      <c r="F114" s="5" t="s">
        <v>56</v>
      </c>
      <c r="G114" s="6" t="s">
        <v>57</v>
      </c>
      <c r="H114" s="7" t="s">
        <v>58</v>
      </c>
    </row>
    <row r="115" spans="2:8" x14ac:dyDescent="0.25">
      <c r="B115" s="14" t="s">
        <v>4</v>
      </c>
      <c r="C115" s="15">
        <v>24.3</v>
      </c>
      <c r="D115" s="16">
        <v>5.36</v>
      </c>
      <c r="F115" s="11">
        <f>10^8.5</f>
        <v>316227766.01683807</v>
      </c>
      <c r="G115" s="12">
        <v>225</v>
      </c>
      <c r="H115" s="13">
        <f>(F115*G115)/(2900+G115)</f>
        <v>22768399.153212342</v>
      </c>
    </row>
    <row r="116" spans="2:8" x14ac:dyDescent="0.25">
      <c r="B116" s="14" t="s">
        <v>5</v>
      </c>
      <c r="C116" s="15">
        <v>27.6</v>
      </c>
      <c r="D116" s="16">
        <v>4.3600000000000003</v>
      </c>
      <c r="F116" s="17" t="s">
        <v>59</v>
      </c>
      <c r="G116" s="18" t="s">
        <v>60</v>
      </c>
      <c r="H116" s="13"/>
    </row>
    <row r="117" spans="2:8" ht="13.8" thickBot="1" x14ac:dyDescent="0.3">
      <c r="B117" s="14" t="s">
        <v>6</v>
      </c>
      <c r="C117" s="15">
        <v>31.1</v>
      </c>
      <c r="D117" s="16">
        <v>3.36</v>
      </c>
      <c r="F117" s="19">
        <f>LINEST(D113:D117,C113:C117, TRUE)</f>
        <v>-0.30658691645036301</v>
      </c>
      <c r="G117" s="20">
        <f>INTERCEPT(D113:D117,C113:C117)</f>
        <v>12.852984238046872</v>
      </c>
      <c r="H117" s="21"/>
    </row>
    <row r="118" spans="2:8" x14ac:dyDescent="0.25">
      <c r="B118" s="14" t="s">
        <v>18</v>
      </c>
      <c r="C118" s="15">
        <v>21.2</v>
      </c>
      <c r="D118" s="16">
        <f>C118 * $F$117 + $G$117</f>
        <v>6.3533416092991768</v>
      </c>
    </row>
    <row r="119" spans="2:8" x14ac:dyDescent="0.25">
      <c r="B119" s="14" t="s">
        <v>19</v>
      </c>
      <c r="C119" s="15">
        <v>31.1</v>
      </c>
      <c r="D119" s="16">
        <f t="shared" ref="D119:D122" si="9">C119 * $F$117 + $G$117</f>
        <v>3.3181311364405826</v>
      </c>
    </row>
    <row r="120" spans="2:8" x14ac:dyDescent="0.25">
      <c r="B120" s="14" t="s">
        <v>20</v>
      </c>
      <c r="C120" s="15">
        <v>19.8</v>
      </c>
      <c r="D120" s="16">
        <f t="shared" si="9"/>
        <v>6.7825632923296846</v>
      </c>
    </row>
    <row r="121" spans="2:8" x14ac:dyDescent="0.25">
      <c r="B121" s="14" t="s">
        <v>21</v>
      </c>
      <c r="C121" s="15">
        <v>18.899999999999999</v>
      </c>
      <c r="D121" s="16">
        <f t="shared" si="9"/>
        <v>7.0584915171350113</v>
      </c>
    </row>
    <row r="122" spans="2:8" ht="13.8" thickBot="1" x14ac:dyDescent="0.3">
      <c r="B122" s="19" t="s">
        <v>22</v>
      </c>
      <c r="C122" s="20">
        <v>28.1</v>
      </c>
      <c r="D122" s="23">
        <f t="shared" si="9"/>
        <v>4.2378918857916705</v>
      </c>
    </row>
    <row r="123" spans="2:8" ht="13.8" thickBot="1" x14ac:dyDescent="0.3">
      <c r="B123" s="42" t="s">
        <v>142</v>
      </c>
      <c r="C123" s="43"/>
      <c r="D123" s="44"/>
    </row>
    <row r="124" spans="2:8" ht="13.8" thickBot="1" x14ac:dyDescent="0.3">
      <c r="B124" s="2" t="s">
        <v>7</v>
      </c>
      <c r="C124" s="3" t="s">
        <v>8</v>
      </c>
      <c r="D124" s="4" t="s">
        <v>9</v>
      </c>
      <c r="F124" s="42" t="s">
        <v>55</v>
      </c>
      <c r="G124" s="43"/>
      <c r="H124" s="44"/>
    </row>
    <row r="125" spans="2:8" x14ac:dyDescent="0.25">
      <c r="B125" s="8" t="s">
        <v>2</v>
      </c>
      <c r="C125" s="9">
        <v>17.7</v>
      </c>
      <c r="D125" s="10">
        <v>7.36</v>
      </c>
      <c r="F125" s="45" t="s">
        <v>114</v>
      </c>
      <c r="G125" s="46"/>
      <c r="H125" s="47"/>
    </row>
    <row r="126" spans="2:8" x14ac:dyDescent="0.25">
      <c r="B126" s="14" t="s">
        <v>3</v>
      </c>
      <c r="C126" s="15">
        <v>21</v>
      </c>
      <c r="D126" s="16">
        <v>6.36</v>
      </c>
      <c r="F126" s="5" t="s">
        <v>56</v>
      </c>
      <c r="G126" s="6" t="s">
        <v>57</v>
      </c>
      <c r="H126" s="7" t="s">
        <v>58</v>
      </c>
    </row>
    <row r="127" spans="2:8" x14ac:dyDescent="0.25">
      <c r="B127" s="14" t="s">
        <v>4</v>
      </c>
      <c r="C127" s="15">
        <v>24.3</v>
      </c>
      <c r="D127" s="16">
        <v>5.36</v>
      </c>
      <c r="F127" s="11">
        <f>10^8.5</f>
        <v>316227766.01683807</v>
      </c>
      <c r="G127" s="12">
        <v>225</v>
      </c>
      <c r="H127" s="13">
        <f>(F127*G127)/(2900+G127)</f>
        <v>22768399.153212342</v>
      </c>
    </row>
    <row r="128" spans="2:8" x14ac:dyDescent="0.25">
      <c r="B128" s="14" t="s">
        <v>5</v>
      </c>
      <c r="C128" s="15">
        <v>27.8</v>
      </c>
      <c r="D128" s="16">
        <v>4.3600000000000003</v>
      </c>
      <c r="F128" s="17" t="s">
        <v>59</v>
      </c>
      <c r="G128" s="18" t="s">
        <v>60</v>
      </c>
      <c r="H128" s="13"/>
    </row>
    <row r="129" spans="2:8" ht="13.8" thickBot="1" x14ac:dyDescent="0.3">
      <c r="B129" s="14" t="s">
        <v>6</v>
      </c>
      <c r="C129" s="15">
        <v>31.1</v>
      </c>
      <c r="D129" s="16">
        <v>3.36</v>
      </c>
      <c r="F129" s="19">
        <f>LINEST(D125:D129,C125:C129, TRUE)</f>
        <v>-0.29758741630353919</v>
      </c>
      <c r="G129" s="20">
        <f>INTERCEPT(D125:D129,C125:C129)</f>
        <v>12.615181209480287</v>
      </c>
      <c r="H129" s="21"/>
    </row>
    <row r="130" spans="2:8" ht="13.8" thickBot="1" x14ac:dyDescent="0.3">
      <c r="B130" s="19" t="s">
        <v>143</v>
      </c>
      <c r="C130" s="20">
        <v>21.2</v>
      </c>
      <c r="D130" s="23">
        <f>C130 * $F$129 + $G$129</f>
        <v>6.3063279838452564</v>
      </c>
    </row>
  </sheetData>
  <mergeCells count="24">
    <mergeCell ref="K2:M2"/>
    <mergeCell ref="K3:M3"/>
    <mergeCell ref="B123:D123"/>
    <mergeCell ref="F124:H124"/>
    <mergeCell ref="F56:H56"/>
    <mergeCell ref="B67:D67"/>
    <mergeCell ref="F68:H68"/>
    <mergeCell ref="F69:H69"/>
    <mergeCell ref="B83:D83"/>
    <mergeCell ref="F84:H84"/>
    <mergeCell ref="B2:D2"/>
    <mergeCell ref="B3:D3"/>
    <mergeCell ref="F2:H2"/>
    <mergeCell ref="F3:H3"/>
    <mergeCell ref="B54:D54"/>
    <mergeCell ref="F55:H55"/>
    <mergeCell ref="F125:H125"/>
    <mergeCell ref="F85:H85"/>
    <mergeCell ref="B94:D94"/>
    <mergeCell ref="F95:H95"/>
    <mergeCell ref="F96:H96"/>
    <mergeCell ref="B111:D111"/>
    <mergeCell ref="F112:H112"/>
    <mergeCell ref="F113:H1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</dc:creator>
  <cp:lastModifiedBy>Dalton</cp:lastModifiedBy>
  <dcterms:created xsi:type="dcterms:W3CDTF">2022-08-04T14:54:48Z</dcterms:created>
  <dcterms:modified xsi:type="dcterms:W3CDTF">2022-08-24T02:14:27Z</dcterms:modified>
</cp:coreProperties>
</file>